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90" windowWidth="11955" windowHeight="7455" tabRatio="195" activeTab="0"/>
  </bookViews>
  <sheets>
    <sheet name="Pensione" sheetId="1" r:id="rId1"/>
    <sheet name="Dati" sheetId="2" state="hidden" r:id="rId2"/>
  </sheets>
  <definedNames>
    <definedName name="_xlnm.Print_Area" localSheetId="0">'Pensione'!$H$165:$N$218</definedName>
  </definedNames>
  <calcPr fullCalcOnLoad="1"/>
</workbook>
</file>

<file path=xl/comments1.xml><?xml version="1.0" encoding="utf-8"?>
<comments xmlns="http://schemas.openxmlformats.org/spreadsheetml/2006/main">
  <authors>
    <author>Michele Napoli</author>
    <author>NAPOLI</author>
  </authors>
  <commentList>
    <comment ref="C16" authorId="0">
      <text>
        <r>
          <rPr>
            <sz val="8"/>
            <rFont val="Tahoma"/>
            <family val="0"/>
          </rPr>
          <t xml:space="preserve">Il dato si rileva dai cedolini dello stipendio; indicare l'anno dal quale è stata attribuita la classe in godi-mento alla cessazione.
</t>
        </r>
      </text>
    </comment>
    <comment ref="B16" authorId="0">
      <text>
        <r>
          <rPr>
            <sz val="8"/>
            <rFont val="Tahoma"/>
            <family val="0"/>
          </rPr>
          <t>Il dato si rileva dal cedolino dello stipendio, nella fascia dell'inquadramento retributivo e può essere: 9 - 15 - 21 - 28 - 35.
Per anzianità 0 e 3 i dati stipendiali vanno inseriti manualmente.</t>
        </r>
      </text>
    </comment>
    <comment ref="J4" authorId="1">
      <text>
        <r>
          <rPr>
            <sz val="8"/>
            <rFont val="Tahoma"/>
            <family val="0"/>
          </rPr>
          <t xml:space="preserve">Per anzianità retributiva inferiore ad anni 9 (cella J5),  la media retributiva indicata in L21 ed L24 è approssimativa; un calcolo più preciso deve essere fatto individualmnte.
</t>
        </r>
      </text>
    </comment>
    <comment ref="C26" authorId="1">
      <text>
        <r>
          <rPr>
            <b/>
            <sz val="8"/>
            <rFont val="Tahoma"/>
            <family val="0"/>
          </rPr>
          <t>Se usufruisce della detrazione un solo genitore indicare 100%, se entrambi indicare 50%.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<sst xmlns="http://schemas.openxmlformats.org/spreadsheetml/2006/main" count="282" uniqueCount="186">
  <si>
    <t xml:space="preserve"> </t>
  </si>
  <si>
    <t>Qualifica</t>
  </si>
  <si>
    <t>mesi</t>
  </si>
  <si>
    <t>anni</t>
  </si>
  <si>
    <t>by Michele Napoli</t>
  </si>
  <si>
    <t>euro</t>
  </si>
  <si>
    <t>lire</t>
  </si>
  <si>
    <t>Collaboratori scolastici</t>
  </si>
  <si>
    <t>Stipendio</t>
  </si>
  <si>
    <t>Media</t>
  </si>
  <si>
    <t>Assistenti amm. e tecn.</t>
  </si>
  <si>
    <t>Docenti materna</t>
  </si>
  <si>
    <t>Docenti elementare</t>
  </si>
  <si>
    <t>Docenti diplom. second.</t>
  </si>
  <si>
    <t>Docenti scuola media</t>
  </si>
  <si>
    <t>Docenti second. super.</t>
  </si>
  <si>
    <t>anz.</t>
  </si>
  <si>
    <t>Retribuzione maggiorata del 18%</t>
  </si>
  <si>
    <t>Indennità integrativa speciale annua</t>
  </si>
  <si>
    <t>Anzianità pensionistica al 31/12/92 in anni e mesi</t>
  </si>
  <si>
    <t>Percentuale e coefficiente al 31/12/92</t>
  </si>
  <si>
    <t>giorni</t>
  </si>
  <si>
    <t>Anzianità retributiva alla cessazione anni</t>
  </si>
  <si>
    <t>Colonna di ricerca della retribuzione</t>
  </si>
  <si>
    <t>Colonna di ricerca della retribuzione media</t>
  </si>
  <si>
    <t>INDENNITA' INTEGRATIVA SPECIALE</t>
  </si>
  <si>
    <t>Collaboratore scolastico</t>
  </si>
  <si>
    <t>Assistente tecnico/amministrativo</t>
  </si>
  <si>
    <t>Insegnante scuola materna</t>
  </si>
  <si>
    <t>Insegnante scuola elementare</t>
  </si>
  <si>
    <t>Insegnante tecnico-pratico</t>
  </si>
  <si>
    <t>Insegnante scuola media</t>
  </si>
  <si>
    <t>Insegnante secondaria superiore</t>
  </si>
  <si>
    <t>Responsabileamministrativo</t>
  </si>
  <si>
    <t>Retribuzione totale per calcolo parte A</t>
  </si>
  <si>
    <t>Anzianità pensionistica alla cessazione in anni e mesi</t>
  </si>
  <si>
    <t>Percentuale e coefficiente alla cessazione</t>
  </si>
  <si>
    <t xml:space="preserve">Mesi residui anzianità pensionistica </t>
  </si>
  <si>
    <t>Anni interi anzianità pensionistica</t>
  </si>
  <si>
    <t>Mesi residui anzianità pensionistica al 31/12/92</t>
  </si>
  <si>
    <t>Totale mesi al 31/12/92 da convertire</t>
  </si>
  <si>
    <t>Anni anzianità al 31/12/92</t>
  </si>
  <si>
    <t>Anzianità pensionistica al 31/12/97 in anni e mesi</t>
  </si>
  <si>
    <t>Percentuale e coefficiente del periodo  92/97</t>
  </si>
  <si>
    <t>Indennità integrativa speciale annua rivalutata</t>
  </si>
  <si>
    <t>Retribuzione media maggiorata del 18%</t>
  </si>
  <si>
    <t>Retribuzione totale per calcolo periodo 92/97</t>
  </si>
  <si>
    <t>Quota di pensione periodo 92/97</t>
  </si>
  <si>
    <t>Percentuale e coefficiente al 31/12/97</t>
  </si>
  <si>
    <t>Percentuale e coefficiente periodo dal 98 in poi</t>
  </si>
  <si>
    <t>Retribuzione media totale per calcolo dal 98 in poi</t>
  </si>
  <si>
    <t>Quota pensione dal 98 in poi</t>
  </si>
  <si>
    <t>Quota A della pensione</t>
  </si>
  <si>
    <t>Quota B della pensione</t>
  </si>
  <si>
    <t>Pensione mensile lorda</t>
  </si>
  <si>
    <t>PENSIONE MENSILE NETTA</t>
  </si>
  <si>
    <t>Imponibile</t>
  </si>
  <si>
    <t>PENSIONE ANNUA LORDA (Quota A + Quota B)</t>
  </si>
  <si>
    <t>Percentuale alla cessazione</t>
  </si>
  <si>
    <t>Classe di inquadramento retributivo e anno dell'attribuzione</t>
  </si>
  <si>
    <t>Cognome e nome</t>
  </si>
  <si>
    <t>Percentuale annua 92</t>
  </si>
  <si>
    <t>Percentuale annua 97</t>
  </si>
  <si>
    <t>Anno del pensionamento</t>
  </si>
  <si>
    <t>INDENNITA' INTEGRATIVA SPECIALE RIVALUTATA</t>
  </si>
  <si>
    <t>Coefficiente di rivalutazione</t>
  </si>
  <si>
    <t>Coordinatori amm. e tec.</t>
  </si>
  <si>
    <t>Retribuzione annua senza indennità int. speciale</t>
  </si>
  <si>
    <t>Responsabile amministrativo</t>
  </si>
  <si>
    <t>Anzianità retributiva/retribuzione mensile lorda</t>
  </si>
  <si>
    <t>Anzianità utile alla pensione alla data della cessazione nel</t>
  </si>
  <si>
    <t>mensile</t>
  </si>
  <si>
    <t xml:space="preserve">            CALCOLO PENSIONE  DEL PERSONALE DELLA SCUOLA AL 31/8/</t>
  </si>
  <si>
    <t>Stipendio mensile da controllare sul cedolino dello stipendio</t>
  </si>
  <si>
    <t>Assistente amministrativo/tecnico</t>
  </si>
  <si>
    <t>Insegnante diplomato secondaria</t>
  </si>
  <si>
    <t>Insegnante second. superiore</t>
  </si>
  <si>
    <t>nota</t>
  </si>
  <si>
    <t>Retribuzione media degli ultimi 111 mesi rivalutata</t>
  </si>
  <si>
    <t>Scaglioni</t>
  </si>
  <si>
    <t>Fino a €</t>
  </si>
  <si>
    <t>Da € 15.000,01 a €</t>
  </si>
  <si>
    <t>Da € 28.000,01 a €</t>
  </si>
  <si>
    <t>Da € 55.000,01 a €</t>
  </si>
  <si>
    <t>Oltre € 75.000</t>
  </si>
  <si>
    <t>Calcolo Irpef</t>
  </si>
  <si>
    <t>Reddito non superiore a € 15.000</t>
  </si>
  <si>
    <t>Reddito non superiore a € 28.000</t>
  </si>
  <si>
    <t>Reddito non superiore a € 55.000</t>
  </si>
  <si>
    <t>Reddito non superiore a € 75.000</t>
  </si>
  <si>
    <t>Reddito superiore a € 75.000</t>
  </si>
  <si>
    <t>Detrazioni sul reddito dei pensionati di età inferiore a 75 anni</t>
  </si>
  <si>
    <t>Fino a € 7.500</t>
  </si>
  <si>
    <t>Fino a € 15.000</t>
  </si>
  <si>
    <t>Fino a € 55.000</t>
  </si>
  <si>
    <t>Detrazione</t>
  </si>
  <si>
    <t>Detrazioni per carichi di famiglia</t>
  </si>
  <si>
    <t>Calcolo deduzione per familiari a carico</t>
  </si>
  <si>
    <t>(un familiare è a carico se il suo reddito annuo non supera € 2.840,51)</t>
  </si>
  <si>
    <t>Nucleo familiare con:</t>
  </si>
  <si>
    <t>Percentuale della detrazione (di norma 50% oppure 100%))</t>
  </si>
  <si>
    <t>Sezione A</t>
  </si>
  <si>
    <t>Completare se nel nucleo familiare ci sono entrambi i genitori:</t>
  </si>
  <si>
    <t>Numero dei figli a carico</t>
  </si>
  <si>
    <t>Se ci sono minori di tre anni indicare il numero</t>
  </si>
  <si>
    <t>Se ci sono portatori di handicap indicare il numero</t>
  </si>
  <si>
    <t>Altri familiari a carico</t>
  </si>
  <si>
    <t>Sezione B</t>
  </si>
  <si>
    <t>Completare se nel nucleo familiare c'è un solo genitore:</t>
  </si>
  <si>
    <t>(nubile, celibe, vedovi, separati con figli a totale loro carico)</t>
  </si>
  <si>
    <t>Indicare il numero:</t>
  </si>
  <si>
    <t>Percentuale</t>
  </si>
  <si>
    <t>Detrazione per il coniuge</t>
  </si>
  <si>
    <t>Detrazione per i figli</t>
  </si>
  <si>
    <t>Detrazione per altri familiari</t>
  </si>
  <si>
    <t>correttivo</t>
  </si>
  <si>
    <t>Detrazione per coniuge a carico</t>
  </si>
  <si>
    <t>Fino a € 40.000</t>
  </si>
  <si>
    <t>Fino a € 80.000</t>
  </si>
  <si>
    <t>Di essi sono minori di tre anni per mesi</t>
  </si>
  <si>
    <t>Di essi sono portatori di handicap</t>
  </si>
  <si>
    <t>Numero di altri familiari a carico</t>
  </si>
  <si>
    <t>Limite di reddito</t>
  </si>
  <si>
    <t>Maggiorazioni della detrazione</t>
  </si>
  <si>
    <t>Calcolo detrazione</t>
  </si>
  <si>
    <t>Detrazione per familiari a carico</t>
  </si>
  <si>
    <t>Nucleo con un solo genitore</t>
  </si>
  <si>
    <t>Il primo figlio è minore di tre anni</t>
  </si>
  <si>
    <t>Il primo figlio è portatore di handicap</t>
  </si>
  <si>
    <t>Altri figli minori di tre anni</t>
  </si>
  <si>
    <t>Altri figli portatori di handicap</t>
  </si>
  <si>
    <t>Detrazione per il primo figlio</t>
  </si>
  <si>
    <t>Detrazione per gli altri figli oltre il primo</t>
  </si>
  <si>
    <t xml:space="preserve">   dei minori di tre anni esluso il primo figlio</t>
  </si>
  <si>
    <t>Detrazione per carichi di famiglia</t>
  </si>
  <si>
    <t>Detrazione sul reddito</t>
  </si>
  <si>
    <t>Nucleo familiare: 1 - un genitore    2 - due genitori</t>
  </si>
  <si>
    <t>Scelta detrazione primo figlio/detrazione coniuge</t>
  </si>
  <si>
    <t>Se ci sono figli a carico indicare se il maggiore:</t>
  </si>
  <si>
    <t xml:space="preserve">Totale detrazioni </t>
  </si>
  <si>
    <t>annua</t>
  </si>
  <si>
    <t xml:space="preserve">   dei figli a carico compreso il maggiore</t>
  </si>
  <si>
    <t xml:space="preserve">   dei portatori di handicap esluso il primo figlio</t>
  </si>
  <si>
    <t>con tred.</t>
  </si>
  <si>
    <t>senza tred.</t>
  </si>
  <si>
    <t>FASCE</t>
  </si>
  <si>
    <t xml:space="preserve">Collaboratore </t>
  </si>
  <si>
    <t xml:space="preserve">Assistenti </t>
  </si>
  <si>
    <t>Coordinatore</t>
  </si>
  <si>
    <t>Docenti</t>
  </si>
  <si>
    <t>ITP - Docenti</t>
  </si>
  <si>
    <t>Docenti laur.</t>
  </si>
  <si>
    <t>scolastico</t>
  </si>
  <si>
    <t>amministrativi</t>
  </si>
  <si>
    <t>amministrativo</t>
  </si>
  <si>
    <t>diplomati sc.</t>
  </si>
  <si>
    <t>scuola media</t>
  </si>
  <si>
    <t>secondaria</t>
  </si>
  <si>
    <t>e tecnici</t>
  </si>
  <si>
    <t>e tecnico</t>
  </si>
  <si>
    <t>elementare</t>
  </si>
  <si>
    <t>superiore</t>
  </si>
  <si>
    <t xml:space="preserve">I.I.S. </t>
  </si>
  <si>
    <t>ANZ.</t>
  </si>
  <si>
    <t>Nucleo con entrambi i genitori</t>
  </si>
  <si>
    <t>materna</t>
  </si>
  <si>
    <t>Inserire o modificare i dati nelle celle color paglierino</t>
  </si>
  <si>
    <t>Irpef lorda</t>
  </si>
  <si>
    <t>Irpef mensile lorda e netta</t>
  </si>
  <si>
    <t>Irpef annua lorda e netta</t>
  </si>
  <si>
    <t>lorda</t>
  </si>
  <si>
    <t>netta</t>
  </si>
  <si>
    <t>Irpef netta secondo la normativa vigente dal 1/1/07</t>
  </si>
  <si>
    <t xml:space="preserve">Numero dei figli a carico </t>
  </si>
  <si>
    <t>CALCOLO PENSIONE AL 31/8/2008</t>
  </si>
  <si>
    <t>Pensione lorda annua e netta mensile</t>
  </si>
  <si>
    <t>Il calcolo della pensione è stato eseguito con le retribuzioni del biennio 2006/07</t>
  </si>
  <si>
    <t>La pensione sarà riliquidata dopo il rinnovo del CCNL per il biennio 2008-09.</t>
  </si>
  <si>
    <t xml:space="preserve">Potrebbe esserci una variazione di lieve entità nel calcolo della quota B per effetto degli emolumenti </t>
  </si>
  <si>
    <t>accessori ricevuti nell'ultimo decennio.</t>
  </si>
  <si>
    <t>CON I.I.S. SCORPORATA - BIENNIO CONTRATTUALE 0607 - INDICI 2008 AGGIORNATI</t>
  </si>
  <si>
    <t>DATI ISTAT PER LA RIVALUTAZIONE 2008</t>
  </si>
  <si>
    <t>POSIZIONI STIPENDIALI MENSILI DAL 31/12/2007</t>
  </si>
  <si>
    <t>sportellopensioni</t>
  </si>
  <si>
    <t>PENSIONE PERSONALE SCUOLA</t>
  </si>
  <si>
    <t>Versione free - La versione completa è disponibile nell'area iscritti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</si>
</sst>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000"/>
    <numFmt numFmtId="172" formatCode="0.000"/>
    <numFmt numFmtId="173" formatCode="0.00000"/>
    <numFmt numFmtId="174" formatCode="0.0"/>
    <numFmt numFmtId="175" formatCode="_-* #,##0.00000_-;\-* #,##0.00000_-;_-* &quot;-&quot;?????_-;_-@_-"/>
    <numFmt numFmtId="176" formatCode="0.00000000"/>
    <numFmt numFmtId="177" formatCode="0.0000000"/>
    <numFmt numFmtId="178" formatCode="0.000000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_-* #,##0.0000_-;\-* #,##0.0000_-;_-* &quot;-&quot;_-;_-@_-"/>
    <numFmt numFmtId="183" formatCode="#,##0.00000_ ;\-#,##0.00000\ "/>
    <numFmt numFmtId="184" formatCode="d/m/yyyy"/>
    <numFmt numFmtId="185" formatCode="d\ mmmm\ yyyy"/>
    <numFmt numFmtId="186" formatCode="0.E+00"/>
    <numFmt numFmtId="187" formatCode="yyyy"/>
    <numFmt numFmtId="188" formatCode="_-* #,##0_-;\-* #,##0_-;_-* &quot;-&quot;?????_-;_-@_-"/>
    <numFmt numFmtId="189" formatCode="d/m"/>
    <numFmt numFmtId="190" formatCode="_-* #,##0.00000_-;\-* #,##0.00000_-;_-* &quot;-&quot;_-;_-@_-"/>
    <numFmt numFmtId="191" formatCode="&quot;L.&quot;\ #,##0"/>
    <numFmt numFmtId="192" formatCode="###.####"/>
    <numFmt numFmtId="193" formatCode="###,###,###"/>
    <numFmt numFmtId="194" formatCode="###"/>
    <numFmt numFmtId="195" formatCode="###,###,###,###,###"/>
    <numFmt numFmtId="196" formatCode="####"/>
    <numFmt numFmtId="197" formatCode="#,##0.00000"/>
    <numFmt numFmtId="198" formatCode="[$€-2]\ #,##0.00"/>
    <numFmt numFmtId="199" formatCode="0.0%"/>
    <numFmt numFmtId="200" formatCode="_-[$€-2]\ * #,##0.00_-;\-[$€-2]\ * #,##0.00_-;_-[$€-2]\ * &quot;-&quot;??_-"/>
    <numFmt numFmtId="201" formatCode="_-* #,##0.000_-;\-* #,##0.000_-;_-* &quot;-&quot;??_-;_-@_-"/>
    <numFmt numFmtId="202" formatCode="_-* #,##0.0000_-;\-* #,##0.0000_-;_-* &quot;-&quot;??_-;_-@_-"/>
    <numFmt numFmtId="203" formatCode="_-* #,##0.000000_-;\-* #,##0.000000_-;_-* &quot;-&quot;??????_-;_-@_-"/>
    <numFmt numFmtId="204" formatCode="dd/mm/yy"/>
    <numFmt numFmtId="205" formatCode="_-[$€-2]\ * #,##0.00_-;\-[$€-2]\ * #,##0.00_-;_-[$€-2]\ * &quot;-&quot;??_-;_-@_-"/>
    <numFmt numFmtId="206" formatCode="_-[$€-2]\ * #,##0.0000_-;\-[$€-2]\ * #,##0.0000_-;_-[$€-2]\ * &quot;-&quot;????_-;_-@_-"/>
    <numFmt numFmtId="207" formatCode="_-* #,##0.000_-;\-* #,##0.000_-;_-* &quot;-&quot;???_-;_-@_-"/>
    <numFmt numFmtId="208" formatCode="_-* #,##0.0_-;\-* #,##0.0_-;_-* &quot;-&quot;??_-;_-@_-"/>
    <numFmt numFmtId="209" formatCode="_-* #,##0_-;\-* #,##0_-;_-* &quot;-&quot;??_-;_-@_-"/>
    <numFmt numFmtId="210" formatCode="_-* #,##0.000000_-;\-* #,##0.000000_-;_-* &quot;-&quot;_-;_-@_-"/>
    <numFmt numFmtId="211" formatCode="&quot;Sì&quot;;&quot;Sì&quot;;&quot;No&quot;"/>
    <numFmt numFmtId="212" formatCode="&quot;Vero&quot;;&quot;Vero&quot;;&quot;Falso&quot;"/>
    <numFmt numFmtId="213" formatCode="&quot;Attivo&quot;;&quot;Attivo&quot;;&quot;Disattivo&quot;"/>
    <numFmt numFmtId="214" formatCode="[$€-2]\ #.##000_);[Red]\([$€-2]\ #.##000\)"/>
    <numFmt numFmtId="215" formatCode="_-* #,##0.0000_-;\-* #,##0.0000_-;_-* &quot;-&quot;????_-;_-@_-"/>
    <numFmt numFmtId="216" formatCode="[$£-809]#,##0"/>
  </numFmts>
  <fonts count="1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26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sz val="10"/>
      <color indexed="9"/>
      <name val="Arial"/>
      <family val="2"/>
    </font>
    <font>
      <b/>
      <sz val="8"/>
      <name val="Tahoma"/>
      <family val="0"/>
    </font>
    <font>
      <sz val="26"/>
      <color indexed="10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3" borderId="0" xfId="0" applyFill="1" applyAlignment="1">
      <alignment/>
    </xf>
    <xf numFmtId="0" fontId="6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41" fontId="1" fillId="3" borderId="0" xfId="19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7" fillId="3" borderId="0" xfId="0" applyFont="1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41" fontId="0" fillId="4" borderId="0" xfId="0" applyNumberFormat="1" applyFill="1" applyAlignment="1" applyProtection="1">
      <alignment/>
      <protection/>
    </xf>
    <xf numFmtId="180" fontId="0" fillId="4" borderId="0" xfId="0" applyNumberForma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41" fontId="0" fillId="0" borderId="0" xfId="19" applyFont="1" applyAlignment="1" applyProtection="1">
      <alignment horizontal="center"/>
      <protection/>
    </xf>
    <xf numFmtId="41" fontId="1" fillId="0" borderId="0" xfId="19" applyFont="1" applyAlignment="1" applyProtection="1">
      <alignment horizontal="center"/>
      <protection/>
    </xf>
    <xf numFmtId="41" fontId="8" fillId="0" borderId="0" xfId="0" applyNumberFormat="1" applyFont="1" applyAlignment="1" applyProtection="1">
      <alignment horizontal="center"/>
      <protection/>
    </xf>
    <xf numFmtId="182" fontId="0" fillId="4" borderId="0" xfId="0" applyNumberFormat="1" applyFill="1" applyAlignment="1" applyProtection="1">
      <alignment/>
      <protection/>
    </xf>
    <xf numFmtId="0" fontId="9" fillId="0" borderId="0" xfId="15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41" fontId="5" fillId="3" borderId="0" xfId="19" applyFont="1" applyFill="1" applyAlignment="1" applyProtection="1">
      <alignment/>
      <protection/>
    </xf>
    <xf numFmtId="180" fontId="1" fillId="3" borderId="0" xfId="19" applyNumberFormat="1" applyFont="1" applyFill="1" applyAlignment="1" applyProtection="1">
      <alignment/>
      <protection/>
    </xf>
    <xf numFmtId="180" fontId="0" fillId="3" borderId="0" xfId="19" applyNumberFormat="1" applyFont="1" applyFill="1" applyAlignment="1" applyProtection="1">
      <alignment/>
      <protection/>
    </xf>
    <xf numFmtId="180" fontId="0" fillId="0" borderId="0" xfId="19" applyNumberFormat="1" applyFont="1" applyAlignment="1" applyProtection="1">
      <alignment horizontal="center"/>
      <protection/>
    </xf>
    <xf numFmtId="180" fontId="1" fillId="0" borderId="0" xfId="19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80" fontId="5" fillId="0" borderId="0" xfId="19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1" fontId="5" fillId="0" borderId="0" xfId="19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80" fontId="0" fillId="3" borderId="0" xfId="19" applyNumberFormat="1" applyFill="1" applyAlignment="1" applyProtection="1">
      <alignment/>
      <protection/>
    </xf>
    <xf numFmtId="41" fontId="0" fillId="3" borderId="0" xfId="19" applyFill="1" applyAlignment="1" applyProtection="1">
      <alignment/>
      <protection/>
    </xf>
    <xf numFmtId="10" fontId="0" fillId="3" borderId="0" xfId="20" applyNumberFormat="1" applyFont="1" applyFill="1" applyAlignment="1" applyProtection="1">
      <alignment/>
      <protection/>
    </xf>
    <xf numFmtId="41" fontId="0" fillId="4" borderId="0" xfId="19" applyFill="1" applyAlignment="1" applyProtection="1">
      <alignment/>
      <protection/>
    </xf>
    <xf numFmtId="41" fontId="0" fillId="4" borderId="0" xfId="19" applyFont="1" applyFill="1" applyAlignment="1" applyProtection="1">
      <alignment/>
      <protection/>
    </xf>
    <xf numFmtId="0" fontId="0" fillId="5" borderId="0" xfId="0" applyFill="1" applyAlignment="1">
      <alignment/>
    </xf>
    <xf numFmtId="0" fontId="0" fillId="3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1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2" fontId="0" fillId="3" borderId="0" xfId="0" applyNumberFormat="1" applyFill="1" applyAlignment="1" applyProtection="1">
      <alignment/>
      <protection/>
    </xf>
    <xf numFmtId="171" fontId="0" fillId="3" borderId="0" xfId="0" applyNumberFormat="1" applyFill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1" fontId="0" fillId="4" borderId="0" xfId="0" applyNumberFormat="1" applyFill="1" applyAlignment="1" applyProtection="1">
      <alignment/>
      <protection/>
    </xf>
    <xf numFmtId="0" fontId="0" fillId="5" borderId="2" xfId="0" applyFill="1" applyBorder="1" applyAlignment="1">
      <alignment/>
    </xf>
    <xf numFmtId="0" fontId="0" fillId="11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5" xfId="0" applyFill="1" applyBorder="1" applyAlignment="1">
      <alignment/>
    </xf>
    <xf numFmtId="41" fontId="0" fillId="3" borderId="0" xfId="19" applyFont="1" applyFill="1" applyAlignment="1" applyProtection="1">
      <alignment/>
      <protection/>
    </xf>
    <xf numFmtId="180" fontId="0" fillId="3" borderId="0" xfId="0" applyNumberFormat="1" applyFill="1" applyAlignment="1" applyProtection="1">
      <alignment/>
      <protection/>
    </xf>
    <xf numFmtId="180" fontId="5" fillId="3" borderId="0" xfId="0" applyNumberFormat="1" applyFont="1" applyFill="1" applyAlignment="1" applyProtection="1">
      <alignment/>
      <protection/>
    </xf>
    <xf numFmtId="180" fontId="1" fillId="3" borderId="0" xfId="0" applyNumberFormat="1" applyFont="1" applyFill="1" applyAlignment="1" applyProtection="1">
      <alignment/>
      <protection/>
    </xf>
    <xf numFmtId="4" fontId="0" fillId="3" borderId="0" xfId="0" applyNumberFormat="1" applyFont="1" applyFill="1" applyAlignment="1" applyProtection="1">
      <alignment/>
      <protection/>
    </xf>
    <xf numFmtId="2" fontId="0" fillId="0" borderId="0" xfId="0" applyNumberFormat="1" applyAlignment="1">
      <alignment/>
    </xf>
    <xf numFmtId="0" fontId="0" fillId="5" borderId="0" xfId="0" applyFill="1" applyBorder="1" applyAlignment="1">
      <alignment/>
    </xf>
    <xf numFmtId="2" fontId="0" fillId="5" borderId="0" xfId="0" applyNumberFormat="1" applyFill="1" applyBorder="1" applyAlignment="1">
      <alignment/>
    </xf>
    <xf numFmtId="4" fontId="5" fillId="3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2" fontId="0" fillId="4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5" borderId="5" xfId="0" applyFill="1" applyBorder="1" applyAlignment="1">
      <alignment/>
    </xf>
    <xf numFmtId="43" fontId="0" fillId="3" borderId="0" xfId="0" applyNumberFormat="1" applyFill="1" applyAlignment="1" applyProtection="1">
      <alignment/>
      <protection/>
    </xf>
    <xf numFmtId="0" fontId="1" fillId="11" borderId="0" xfId="0" applyFont="1" applyFill="1" applyBorder="1" applyAlignment="1">
      <alignment/>
    </xf>
    <xf numFmtId="171" fontId="0" fillId="11" borderId="0" xfId="0" applyNumberFormat="1" applyFill="1" applyBorder="1" applyAlignment="1">
      <alignment/>
    </xf>
    <xf numFmtId="178" fontId="1" fillId="11" borderId="0" xfId="0" applyNumberFormat="1" applyFont="1" applyFill="1" applyBorder="1" applyAlignment="1">
      <alignment/>
    </xf>
    <xf numFmtId="173" fontId="0" fillId="11" borderId="0" xfId="0" applyNumberFormat="1" applyFill="1" applyBorder="1" applyAlignment="1">
      <alignment/>
    </xf>
    <xf numFmtId="180" fontId="0" fillId="11" borderId="0" xfId="19" applyNumberFormat="1" applyFill="1" applyBorder="1" applyAlignment="1">
      <alignment/>
    </xf>
    <xf numFmtId="0" fontId="0" fillId="12" borderId="0" xfId="0" applyFill="1" applyAlignment="1">
      <alignment/>
    </xf>
    <xf numFmtId="0" fontId="14" fillId="12" borderId="0" xfId="0" applyFont="1" applyFill="1" applyAlignment="1">
      <alignment/>
    </xf>
    <xf numFmtId="43" fontId="0" fillId="3" borderId="1" xfId="18" applyFont="1" applyFill="1" applyBorder="1" applyAlignment="1">
      <alignment/>
    </xf>
    <xf numFmtId="0" fontId="0" fillId="7" borderId="6" xfId="0" applyFill="1" applyBorder="1" applyAlignment="1">
      <alignment horizontal="center"/>
    </xf>
    <xf numFmtId="43" fontId="0" fillId="6" borderId="1" xfId="18" applyFont="1" applyFill="1" applyBorder="1" applyAlignment="1">
      <alignment/>
    </xf>
    <xf numFmtId="43" fontId="0" fillId="6" borderId="1" xfId="18" applyFill="1" applyBorder="1" applyAlignment="1">
      <alignment horizontal="center"/>
    </xf>
    <xf numFmtId="43" fontId="0" fillId="6" borderId="1" xfId="18" applyFill="1" applyBorder="1" applyAlignment="1">
      <alignment/>
    </xf>
    <xf numFmtId="43" fontId="0" fillId="8" borderId="1" xfId="18" applyFill="1" applyBorder="1" applyAlignment="1">
      <alignment/>
    </xf>
    <xf numFmtId="43" fontId="0" fillId="7" borderId="1" xfId="18" applyFill="1" applyBorder="1" applyAlignment="1">
      <alignment/>
    </xf>
    <xf numFmtId="43" fontId="0" fillId="9" borderId="1" xfId="18" applyFill="1" applyBorder="1" applyAlignment="1">
      <alignment/>
    </xf>
    <xf numFmtId="43" fontId="0" fillId="10" borderId="1" xfId="18" applyFill="1" applyBorder="1" applyAlignment="1">
      <alignment/>
    </xf>
    <xf numFmtId="43" fontId="0" fillId="4" borderId="1" xfId="18" applyFill="1" applyBorder="1" applyAlignment="1">
      <alignment/>
    </xf>
    <xf numFmtId="43" fontId="0" fillId="2" borderId="1" xfId="18" applyFill="1" applyBorder="1" applyAlignment="1">
      <alignment/>
    </xf>
    <xf numFmtId="0" fontId="0" fillId="5" borderId="3" xfId="0" applyFill="1" applyBorder="1" applyAlignment="1">
      <alignment/>
    </xf>
    <xf numFmtId="0" fontId="5" fillId="2" borderId="0" xfId="0" applyFont="1" applyFill="1" applyAlignment="1" applyProtection="1">
      <alignment/>
      <protection/>
    </xf>
    <xf numFmtId="0" fontId="0" fillId="0" borderId="0" xfId="0" applyAlignment="1" quotePrefix="1">
      <alignment/>
    </xf>
    <xf numFmtId="171" fontId="0" fillId="0" borderId="0" xfId="0" applyNumberFormat="1" applyAlignment="1" applyProtection="1">
      <alignment/>
      <protection/>
    </xf>
    <xf numFmtId="41" fontId="0" fillId="3" borderId="0" xfId="0" applyNumberFormat="1" applyFill="1" applyAlignment="1" applyProtection="1">
      <alignment/>
      <protection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80" fontId="0" fillId="3" borderId="1" xfId="19" applyNumberFormat="1" applyFont="1" applyFill="1" applyBorder="1" applyAlignment="1" applyProtection="1">
      <alignment/>
      <protection/>
    </xf>
    <xf numFmtId="180" fontId="0" fillId="3" borderId="1" xfId="19" applyNumberFormat="1" applyFill="1" applyBorder="1" applyAlignment="1" applyProtection="1">
      <alignment/>
      <protection/>
    </xf>
    <xf numFmtId="180" fontId="0" fillId="3" borderId="1" xfId="19" applyNumberFormat="1" applyFont="1" applyFill="1" applyBorder="1" applyAlignment="1" applyProtection="1">
      <alignment/>
      <protection/>
    </xf>
    <xf numFmtId="180" fontId="0" fillId="3" borderId="1" xfId="19" applyNumberFormat="1" applyFont="1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43" fontId="0" fillId="3" borderId="0" xfId="18" applyFont="1" applyFill="1" applyAlignment="1" applyProtection="1">
      <alignment/>
      <protection/>
    </xf>
    <xf numFmtId="43" fontId="0" fillId="11" borderId="0" xfId="18" applyFill="1" applyBorder="1" applyAlignment="1">
      <alignment/>
    </xf>
    <xf numFmtId="43" fontId="0" fillId="11" borderId="5" xfId="18" applyFill="1" applyBorder="1" applyAlignment="1">
      <alignment/>
    </xf>
    <xf numFmtId="43" fontId="0" fillId="3" borderId="0" xfId="18" applyFill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1" fontId="12" fillId="0" borderId="0" xfId="0" applyNumberFormat="1" applyFont="1" applyAlignment="1" applyProtection="1">
      <alignment horizontal="left"/>
      <protection/>
    </xf>
    <xf numFmtId="180" fontId="0" fillId="2" borderId="0" xfId="0" applyNumberFormat="1" applyFill="1" applyAlignment="1" applyProtection="1">
      <alignment/>
      <protection/>
    </xf>
    <xf numFmtId="180" fontId="1" fillId="3" borderId="1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/>
      <protection/>
    </xf>
    <xf numFmtId="0" fontId="0" fillId="4" borderId="11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180" fontId="1" fillId="3" borderId="1" xfId="19" applyNumberFormat="1" applyFont="1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/>
      <protection/>
    </xf>
    <xf numFmtId="43" fontId="0" fillId="4" borderId="12" xfId="18" applyFill="1" applyBorder="1" applyAlignment="1" applyProtection="1">
      <alignment/>
      <protection/>
    </xf>
    <xf numFmtId="41" fontId="0" fillId="4" borderId="6" xfId="0" applyNumberFormat="1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209" fontId="0" fillId="4" borderId="1" xfId="18" applyNumberFormat="1" applyFill="1" applyBorder="1" applyAlignment="1" applyProtection="1">
      <alignment/>
      <protection/>
    </xf>
    <xf numFmtId="43" fontId="0" fillId="4" borderId="1" xfId="18" applyFill="1" applyBorder="1" applyAlignment="1" applyProtection="1">
      <alignment/>
      <protection/>
    </xf>
    <xf numFmtId="41" fontId="0" fillId="4" borderId="1" xfId="0" applyNumberFormat="1" applyFill="1" applyBorder="1" applyAlignment="1" applyProtection="1">
      <alignment/>
      <protection/>
    </xf>
    <xf numFmtId="0" fontId="0" fillId="4" borderId="1" xfId="18" applyNumberFormat="1" applyFill="1" applyBorder="1" applyAlignment="1" applyProtection="1">
      <alignment/>
      <protection/>
    </xf>
    <xf numFmtId="0" fontId="0" fillId="4" borderId="6" xfId="18" applyNumberFormat="1" applyFill="1" applyBorder="1" applyAlignment="1" applyProtection="1">
      <alignment/>
      <protection/>
    </xf>
    <xf numFmtId="43" fontId="0" fillId="4" borderId="0" xfId="18" applyFill="1" applyAlignment="1" applyProtection="1">
      <alignment/>
      <protection/>
    </xf>
    <xf numFmtId="43" fontId="0" fillId="4" borderId="1" xfId="18" applyNumberFormat="1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5" fillId="4" borderId="11" xfId="0" applyFont="1" applyFill="1" applyBorder="1" applyAlignment="1" applyProtection="1">
      <alignment/>
      <protection/>
    </xf>
    <xf numFmtId="0" fontId="0" fillId="4" borderId="12" xfId="18" applyNumberFormat="1" applyFill="1" applyBorder="1" applyAlignment="1" applyProtection="1">
      <alignment/>
      <protection/>
    </xf>
    <xf numFmtId="43" fontId="0" fillId="4" borderId="1" xfId="18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202" fontId="0" fillId="4" borderId="1" xfId="18" applyNumberFormat="1" applyFill="1" applyBorder="1" applyAlignment="1" applyProtection="1">
      <alignment/>
      <protection/>
    </xf>
    <xf numFmtId="0" fontId="1" fillId="4" borderId="6" xfId="0" applyFont="1" applyFill="1" applyBorder="1" applyAlignment="1" applyProtection="1">
      <alignment/>
      <protection/>
    </xf>
    <xf numFmtId="43" fontId="1" fillId="4" borderId="1" xfId="18" applyFont="1" applyFill="1" applyBorder="1" applyAlignment="1" applyProtection="1">
      <alignment/>
      <protection/>
    </xf>
    <xf numFmtId="0" fontId="0" fillId="4" borderId="6" xfId="0" applyNumberFormat="1" applyFill="1" applyBorder="1" applyAlignment="1" applyProtection="1">
      <alignment/>
      <protection/>
    </xf>
    <xf numFmtId="180" fontId="5" fillId="3" borderId="1" xfId="19" applyNumberFormat="1" applyFont="1" applyFill="1" applyBorder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3" borderId="14" xfId="0" applyFont="1" applyFill="1" applyBorder="1" applyAlignment="1" applyProtection="1">
      <alignment/>
      <protection/>
    </xf>
    <xf numFmtId="0" fontId="0" fillId="3" borderId="15" xfId="0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/>
      <protection/>
    </xf>
    <xf numFmtId="0" fontId="1" fillId="3" borderId="17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0" fillId="3" borderId="18" xfId="0" applyFill="1" applyBorder="1" applyAlignment="1" applyProtection="1">
      <alignment horizontal="center"/>
      <protection/>
    </xf>
    <xf numFmtId="0" fontId="0" fillId="13" borderId="19" xfId="18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0" fontId="0" fillId="3" borderId="21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/>
      <protection/>
    </xf>
    <xf numFmtId="10" fontId="0" fillId="4" borderId="6" xfId="0" applyNumberFormat="1" applyFill="1" applyBorder="1" applyAlignment="1" applyProtection="1">
      <alignment/>
      <protection/>
    </xf>
    <xf numFmtId="0" fontId="5" fillId="4" borderId="6" xfId="0" applyFont="1" applyFill="1" applyBorder="1" applyAlignment="1" applyProtection="1">
      <alignment/>
      <protection/>
    </xf>
    <xf numFmtId="43" fontId="5" fillId="4" borderId="1" xfId="18" applyFont="1" applyFill="1" applyBorder="1" applyAlignment="1" applyProtection="1">
      <alignment/>
      <protection/>
    </xf>
    <xf numFmtId="43" fontId="0" fillId="4" borderId="1" xfId="18" applyFont="1" applyFill="1" applyBorder="1" applyAlignment="1" applyProtection="1">
      <alignment/>
      <protection/>
    </xf>
    <xf numFmtId="43" fontId="0" fillId="4" borderId="1" xfId="18" applyFont="1" applyFill="1" applyBorder="1" applyAlignment="1" applyProtection="1">
      <alignment/>
      <protection/>
    </xf>
    <xf numFmtId="43" fontId="0" fillId="4" borderId="0" xfId="0" applyNumberFormat="1" applyFill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180" fontId="0" fillId="4" borderId="0" xfId="19" applyNumberFormat="1" applyFill="1" applyBorder="1" applyAlignment="1" applyProtection="1">
      <alignment/>
      <protection/>
    </xf>
    <xf numFmtId="0" fontId="0" fillId="4" borderId="1" xfId="0" applyNumberFormat="1" applyFill="1" applyBorder="1" applyAlignment="1" applyProtection="1">
      <alignment horizontal="center"/>
      <protection/>
    </xf>
    <xf numFmtId="2" fontId="0" fillId="4" borderId="0" xfId="0" applyNumberForma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0" fillId="3" borderId="23" xfId="0" applyFont="1" applyFill="1" applyBorder="1" applyAlignment="1" applyProtection="1">
      <alignment/>
      <protection/>
    </xf>
    <xf numFmtId="0" fontId="0" fillId="3" borderId="24" xfId="0" applyFill="1" applyBorder="1" applyAlignment="1" applyProtection="1">
      <alignment horizontal="center"/>
      <protection/>
    </xf>
    <xf numFmtId="0" fontId="11" fillId="3" borderId="15" xfId="0" applyFont="1" applyFill="1" applyBorder="1" applyAlignment="1" applyProtection="1">
      <alignment/>
      <protection/>
    </xf>
    <xf numFmtId="43" fontId="0" fillId="4" borderId="6" xfId="18" applyFill="1" applyBorder="1" applyAlignment="1" applyProtection="1">
      <alignment/>
      <protection/>
    </xf>
    <xf numFmtId="43" fontId="0" fillId="4" borderId="1" xfId="0" applyNumberFormat="1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43" fontId="0" fillId="3" borderId="1" xfId="18" applyFill="1" applyBorder="1" applyAlignment="1" applyProtection="1">
      <alignment/>
      <protection/>
    </xf>
    <xf numFmtId="0" fontId="1" fillId="3" borderId="11" xfId="0" applyFont="1" applyFill="1" applyBorder="1" applyAlignment="1" applyProtection="1">
      <alignment/>
      <protection/>
    </xf>
    <xf numFmtId="0" fontId="1" fillId="3" borderId="6" xfId="0" applyFont="1" applyFill="1" applyBorder="1" applyAlignment="1" applyProtection="1">
      <alignment/>
      <protection/>
    </xf>
    <xf numFmtId="43" fontId="1" fillId="3" borderId="1" xfId="18" applyFont="1" applyFill="1" applyBorder="1" applyAlignment="1" applyProtection="1">
      <alignment/>
      <protection/>
    </xf>
    <xf numFmtId="0" fontId="5" fillId="3" borderId="11" xfId="0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0" fontId="12" fillId="3" borderId="0" xfId="0" applyFont="1" applyFill="1" applyAlignment="1">
      <alignment/>
    </xf>
    <xf numFmtId="0" fontId="0" fillId="3" borderId="25" xfId="0" applyFill="1" applyBorder="1" applyAlignment="1">
      <alignment/>
    </xf>
    <xf numFmtId="0" fontId="0" fillId="3" borderId="25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4" fontId="0" fillId="3" borderId="25" xfId="0" applyNumberFormat="1" applyFill="1" applyBorder="1" applyAlignment="1">
      <alignment horizontal="center"/>
    </xf>
    <xf numFmtId="0" fontId="0" fillId="2" borderId="9" xfId="0" applyFill="1" applyBorder="1" applyAlignment="1">
      <alignment/>
    </xf>
    <xf numFmtId="4" fontId="0" fillId="3" borderId="1" xfId="0" applyNumberFormat="1" applyFill="1" applyBorder="1" applyAlignment="1">
      <alignment horizontal="center"/>
    </xf>
    <xf numFmtId="1" fontId="0" fillId="3" borderId="0" xfId="0" applyNumberFormat="1" applyFill="1" applyAlignment="1">
      <alignment/>
    </xf>
    <xf numFmtId="180" fontId="5" fillId="2" borderId="0" xfId="0" applyNumberFormat="1" applyFont="1" applyFill="1" applyAlignment="1" applyProtection="1">
      <alignment horizontal="center"/>
      <protection/>
    </xf>
    <xf numFmtId="180" fontId="5" fillId="2" borderId="0" xfId="0" applyNumberFormat="1" applyFont="1" applyFill="1" applyAlignment="1" applyProtection="1">
      <alignment/>
      <protection/>
    </xf>
    <xf numFmtId="180" fontId="5" fillId="3" borderId="16" xfId="0" applyNumberFormat="1" applyFont="1" applyFill="1" applyBorder="1" applyAlignment="1" applyProtection="1">
      <alignment/>
      <protection/>
    </xf>
    <xf numFmtId="180" fontId="5" fillId="3" borderId="15" xfId="0" applyNumberFormat="1" applyFont="1" applyFill="1" applyBorder="1" applyAlignment="1" applyProtection="1">
      <alignment horizontal="center"/>
      <protection/>
    </xf>
    <xf numFmtId="41" fontId="11" fillId="3" borderId="1" xfId="19" applyFont="1" applyFill="1" applyBorder="1" applyAlignment="1" applyProtection="1">
      <alignment horizontal="left"/>
      <protection/>
    </xf>
    <xf numFmtId="0" fontId="0" fillId="4" borderId="26" xfId="0" applyFill="1" applyBorder="1" applyAlignment="1" applyProtection="1">
      <alignment/>
      <protection/>
    </xf>
    <xf numFmtId="0" fontId="0" fillId="4" borderId="25" xfId="0" applyFill="1" applyBorder="1" applyAlignment="1" applyProtection="1">
      <alignment/>
      <protection/>
    </xf>
    <xf numFmtId="0" fontId="2" fillId="13" borderId="1" xfId="0" applyFont="1" applyFill="1" applyBorder="1" applyAlignment="1" applyProtection="1">
      <alignment/>
      <protection locked="0"/>
    </xf>
    <xf numFmtId="0" fontId="0" fillId="13" borderId="1" xfId="0" applyFill="1" applyBorder="1" applyAlignment="1" applyProtection="1">
      <alignment horizontal="center"/>
      <protection locked="0"/>
    </xf>
    <xf numFmtId="1" fontId="0" fillId="1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43" fontId="0" fillId="3" borderId="0" xfId="0" applyNumberFormat="1" applyFont="1" applyFill="1" applyAlignment="1" applyProtection="1">
      <alignment/>
      <protection/>
    </xf>
    <xf numFmtId="0" fontId="0" fillId="4" borderId="3" xfId="18" applyNumberFormat="1" applyFont="1" applyFill="1" applyBorder="1" applyAlignment="1" applyProtection="1">
      <alignment horizontal="center"/>
      <protection/>
    </xf>
    <xf numFmtId="43" fontId="0" fillId="4" borderId="0" xfId="18" applyFont="1" applyFill="1" applyAlignment="1" applyProtection="1">
      <alignment horizontal="center"/>
      <protection/>
    </xf>
    <xf numFmtId="43" fontId="0" fillId="0" borderId="0" xfId="18" applyAlignment="1" applyProtection="1">
      <alignment horizontal="right"/>
      <protection/>
    </xf>
    <xf numFmtId="10" fontId="0" fillId="13" borderId="27" xfId="18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/>
    </xf>
    <xf numFmtId="43" fontId="0" fillId="3" borderId="1" xfId="18" applyFill="1" applyBorder="1" applyAlignment="1">
      <alignment horizontal="center"/>
    </xf>
    <xf numFmtId="43" fontId="0" fillId="7" borderId="6" xfId="18" applyFill="1" applyBorder="1" applyAlignment="1">
      <alignment horizontal="center"/>
    </xf>
    <xf numFmtId="43" fontId="0" fillId="7" borderId="1" xfId="18" applyFill="1" applyBorder="1" applyAlignment="1">
      <alignment horizontal="center"/>
    </xf>
    <xf numFmtId="43" fontId="0" fillId="8" borderId="1" xfId="18" applyFill="1" applyBorder="1" applyAlignment="1">
      <alignment horizontal="center"/>
    </xf>
    <xf numFmtId="43" fontId="0" fillId="9" borderId="1" xfId="18" applyFill="1" applyBorder="1" applyAlignment="1">
      <alignment horizontal="center"/>
    </xf>
    <xf numFmtId="43" fontId="0" fillId="10" borderId="1" xfId="18" applyFill="1" applyBorder="1" applyAlignment="1">
      <alignment horizontal="center"/>
    </xf>
    <xf numFmtId="43" fontId="0" fillId="4" borderId="1" xfId="18" applyFill="1" applyBorder="1" applyAlignment="1">
      <alignment horizontal="center"/>
    </xf>
    <xf numFmtId="43" fontId="0" fillId="2" borderId="1" xfId="18" applyFill="1" applyBorder="1" applyAlignment="1">
      <alignment horizontal="center"/>
    </xf>
    <xf numFmtId="0" fontId="1" fillId="0" borderId="0" xfId="0" applyFont="1" applyAlignment="1">
      <alignment/>
    </xf>
    <xf numFmtId="43" fontId="1" fillId="3" borderId="0" xfId="18" applyFont="1" applyFill="1" applyAlignment="1">
      <alignment/>
    </xf>
    <xf numFmtId="0" fontId="16" fillId="3" borderId="0" xfId="0" applyFont="1" applyFill="1" applyAlignment="1" applyProtection="1">
      <alignment horizontal="left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22</xdr:row>
      <xdr:rowOff>152400</xdr:rowOff>
    </xdr:from>
    <xdr:to>
      <xdr:col>0</xdr:col>
      <xdr:colOff>1924050</xdr:colOff>
      <xdr:row>24</xdr:row>
      <xdr:rowOff>47625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29075"/>
          <a:ext cx="1895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1905000</xdr:colOff>
      <xdr:row>22</xdr:row>
      <xdr:rowOff>152400</xdr:rowOff>
    </xdr:from>
    <xdr:to>
      <xdr:col>1</xdr:col>
      <xdr:colOff>47625</xdr:colOff>
      <xdr:row>24</xdr:row>
      <xdr:rowOff>47625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4029075"/>
          <a:ext cx="1971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3048000</xdr:colOff>
      <xdr:row>29</xdr:row>
      <xdr:rowOff>76200</xdr:rowOff>
    </xdr:from>
    <xdr:to>
      <xdr:col>2</xdr:col>
      <xdr:colOff>923925</xdr:colOff>
      <xdr:row>31</xdr:row>
      <xdr:rowOff>47625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5124450"/>
          <a:ext cx="2533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3048000</xdr:colOff>
      <xdr:row>44</xdr:row>
      <xdr:rowOff>95250</xdr:rowOff>
    </xdr:from>
    <xdr:to>
      <xdr:col>2</xdr:col>
      <xdr:colOff>923925</xdr:colOff>
      <xdr:row>46</xdr:row>
      <xdr:rowOff>66675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7610475"/>
          <a:ext cx="2533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3057525</xdr:colOff>
      <xdr:row>46</xdr:row>
      <xdr:rowOff>9525</xdr:rowOff>
    </xdr:from>
    <xdr:to>
      <xdr:col>2</xdr:col>
      <xdr:colOff>933450</xdr:colOff>
      <xdr:row>47</xdr:row>
      <xdr:rowOff>142875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57525" y="7848600"/>
          <a:ext cx="2533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</xdr:row>
      <xdr:rowOff>38100</xdr:rowOff>
    </xdr:from>
    <xdr:to>
      <xdr:col>2</xdr:col>
      <xdr:colOff>800100</xdr:colOff>
      <xdr:row>6</xdr:row>
      <xdr:rowOff>66675</xdr:rowOff>
    </xdr:to>
    <xdr:pic>
      <xdr:nvPicPr>
        <xdr:cNvPr id="6" name="Cance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781050"/>
          <a:ext cx="723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Q355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57.421875" style="0" customWidth="1"/>
    <col min="2" max="2" width="12.421875" style="3" customWidth="1"/>
    <col min="3" max="3" width="14.28125" style="0" customWidth="1"/>
    <col min="4" max="7" width="6.7109375" style="0" customWidth="1"/>
    <col min="8" max="8" width="45.7109375" style="0" customWidth="1"/>
    <col min="9" max="9" width="2.8515625" style="0" customWidth="1"/>
    <col min="10" max="10" width="10.28125" style="0" customWidth="1"/>
    <col min="11" max="11" width="10.7109375" style="0" customWidth="1"/>
    <col min="12" max="12" width="12.8515625" style="0" customWidth="1"/>
    <col min="13" max="13" width="2.140625" style="0" customWidth="1"/>
    <col min="14" max="14" width="13.140625" style="0" customWidth="1"/>
    <col min="15" max="15" width="11.57421875" style="0" customWidth="1"/>
    <col min="16" max="16" width="9.28125" style="0" bestFit="1" customWidth="1"/>
    <col min="17" max="17" width="10.28125" style="0" bestFit="1" customWidth="1"/>
  </cols>
  <sheetData>
    <row r="1" spans="1:17" ht="33">
      <c r="A1" s="243" t="s">
        <v>184</v>
      </c>
      <c r="B1" s="19"/>
      <c r="C1" s="14"/>
      <c r="D1" s="14"/>
      <c r="E1" s="14"/>
      <c r="F1" s="14"/>
      <c r="G1" s="14"/>
      <c r="H1" s="23" t="s">
        <v>174</v>
      </c>
      <c r="I1" s="23"/>
      <c r="J1" s="17"/>
      <c r="K1" s="17"/>
      <c r="L1" s="14"/>
      <c r="M1" s="14"/>
      <c r="N1" s="14"/>
      <c r="O1" s="14"/>
      <c r="P1" s="14"/>
      <c r="Q1" s="14"/>
    </row>
    <row r="2" spans="1:17" s="2" customFormat="1" ht="12.75">
      <c r="A2" s="35" t="s">
        <v>183</v>
      </c>
      <c r="B2" s="7"/>
      <c r="C2" s="5"/>
      <c r="D2" s="5"/>
      <c r="E2" s="5"/>
      <c r="F2" s="5"/>
      <c r="G2" s="5"/>
      <c r="H2" s="15"/>
      <c r="I2" s="15"/>
      <c r="J2" s="15"/>
      <c r="K2" s="15"/>
      <c r="L2" s="15"/>
      <c r="M2" s="15"/>
      <c r="N2" s="15"/>
      <c r="O2" s="15"/>
      <c r="P2" s="14"/>
      <c r="Q2" s="14"/>
    </row>
    <row r="3" spans="1:17" ht="12.75">
      <c r="A3" s="35" t="s">
        <v>185</v>
      </c>
      <c r="B3" s="7"/>
      <c r="C3" s="5"/>
      <c r="D3" s="5"/>
      <c r="E3" s="5"/>
      <c r="F3" s="5"/>
      <c r="G3" s="5"/>
      <c r="H3" s="14"/>
      <c r="I3" s="14"/>
      <c r="J3" s="14"/>
      <c r="K3" s="14"/>
      <c r="L3" s="18" t="s">
        <v>5</v>
      </c>
      <c r="M3" s="15"/>
      <c r="N3" s="18" t="s">
        <v>6</v>
      </c>
      <c r="O3" s="14"/>
      <c r="P3" s="14"/>
      <c r="Q3" s="14"/>
    </row>
    <row r="4" spans="1:17" ht="12.75">
      <c r="A4" s="218" t="s">
        <v>166</v>
      </c>
      <c r="B4" s="7"/>
      <c r="C4" s="5"/>
      <c r="D4" s="5"/>
      <c r="E4" s="5"/>
      <c r="F4" s="5"/>
      <c r="G4" s="5"/>
      <c r="H4" s="14"/>
      <c r="I4" s="14"/>
      <c r="J4" s="139" t="s">
        <v>77</v>
      </c>
      <c r="K4" s="19"/>
      <c r="L4" s="14"/>
      <c r="M4" s="14"/>
      <c r="N4" s="14"/>
      <c r="O4" s="14"/>
      <c r="P4" s="14"/>
      <c r="Q4" s="14"/>
    </row>
    <row r="5" spans="1:17" ht="12.75">
      <c r="A5" s="114"/>
      <c r="B5" s="7"/>
      <c r="C5" s="5"/>
      <c r="D5" s="5"/>
      <c r="E5" s="5"/>
      <c r="F5" s="5"/>
      <c r="G5" s="5"/>
      <c r="H5" s="14" t="s">
        <v>69</v>
      </c>
      <c r="I5" s="14"/>
      <c r="J5" s="73">
        <f>IF(J45&gt;45,45,J45)</f>
        <v>29</v>
      </c>
      <c r="K5" s="14"/>
      <c r="L5" s="48">
        <f>L6/12</f>
        <v>1854.2716666666665</v>
      </c>
      <c r="M5" s="14"/>
      <c r="N5" s="49">
        <f>L5*1936.27</f>
        <v>3590370.6000166666</v>
      </c>
      <c r="O5" s="14"/>
      <c r="P5" s="14"/>
      <c r="Q5" s="14"/>
    </row>
    <row r="6" spans="1:17" ht="12.75">
      <c r="A6" s="5" t="s">
        <v>60</v>
      </c>
      <c r="B6" s="7"/>
      <c r="C6" s="5"/>
      <c r="D6" s="5"/>
      <c r="E6" s="5"/>
      <c r="F6" s="5"/>
      <c r="G6" s="5"/>
      <c r="H6" s="14" t="s">
        <v>67</v>
      </c>
      <c r="I6" s="14"/>
      <c r="J6" s="14"/>
      <c r="K6" s="14"/>
      <c r="L6" s="119">
        <f>VLOOKUP(J5,Dati!A4:Q49,J46)</f>
        <v>22251.26</v>
      </c>
      <c r="M6" s="14"/>
      <c r="N6" s="49">
        <f>L6*1936.27</f>
        <v>43084447.2002</v>
      </c>
      <c r="O6" s="14"/>
      <c r="P6" s="14"/>
      <c r="Q6" s="14"/>
    </row>
    <row r="7" spans="1:17" ht="12.75">
      <c r="A7" s="221"/>
      <c r="B7" s="7"/>
      <c r="C7" s="5"/>
      <c r="D7" s="5"/>
      <c r="E7" s="5"/>
      <c r="F7" s="5"/>
      <c r="G7" s="5"/>
      <c r="H7" s="14" t="s">
        <v>17</v>
      </c>
      <c r="I7" s="14"/>
      <c r="J7" s="14"/>
      <c r="K7" s="14"/>
      <c r="L7" s="48">
        <f>L6*1.18</f>
        <v>26256.486799999995</v>
      </c>
      <c r="M7" s="14"/>
      <c r="N7" s="49">
        <f>L7*1936.27</f>
        <v>50839647.69623599</v>
      </c>
      <c r="O7" s="14"/>
      <c r="P7" s="14"/>
      <c r="Q7" s="14"/>
    </row>
    <row r="8" spans="1:17" ht="14.25" customHeight="1">
      <c r="A8" s="5" t="s">
        <v>0</v>
      </c>
      <c r="B8" s="7"/>
      <c r="C8" s="136"/>
      <c r="D8" s="5"/>
      <c r="E8" s="5"/>
      <c r="F8" s="5"/>
      <c r="G8" s="5"/>
      <c r="H8" s="14" t="s">
        <v>18</v>
      </c>
      <c r="I8" s="14"/>
      <c r="J8" s="14"/>
      <c r="K8" s="14"/>
      <c r="L8" s="120">
        <f>VLOOKUP(C10,Dati!S7:U14,3)</f>
        <v>6459.6</v>
      </c>
      <c r="M8" s="14"/>
      <c r="N8" s="49">
        <f>L8*1936.27</f>
        <v>12507529.692</v>
      </c>
      <c r="O8" s="94">
        <f>L8/12</f>
        <v>538.3000000000001</v>
      </c>
      <c r="P8" s="14"/>
      <c r="Q8" s="14"/>
    </row>
    <row r="9" spans="1:17" ht="14.25" customHeight="1">
      <c r="A9" s="5" t="s">
        <v>1</v>
      </c>
      <c r="B9" s="7"/>
      <c r="C9" s="136"/>
      <c r="D9" s="5"/>
      <c r="E9" s="5"/>
      <c r="F9" s="5"/>
      <c r="G9" s="5"/>
      <c r="H9" s="15" t="s">
        <v>34</v>
      </c>
      <c r="I9" s="15"/>
      <c r="J9" s="15"/>
      <c r="K9" s="15"/>
      <c r="L9" s="38">
        <f>L7+L8</f>
        <v>32716.086799999997</v>
      </c>
      <c r="M9" s="15"/>
      <c r="N9" s="80">
        <f>L9*1936.27</f>
        <v>63347177.38823599</v>
      </c>
      <c r="O9" s="14"/>
      <c r="P9" s="14"/>
      <c r="Q9" s="14"/>
    </row>
    <row r="10" spans="1:17" ht="12.75">
      <c r="A10" s="221" t="s">
        <v>31</v>
      </c>
      <c r="B10" s="7"/>
      <c r="C10" s="224">
        <f>J60+J61</f>
        <v>7</v>
      </c>
      <c r="D10" s="5"/>
      <c r="E10" s="5"/>
      <c r="F10" s="5"/>
      <c r="G10" s="5"/>
      <c r="H10" s="14" t="s">
        <v>35</v>
      </c>
      <c r="I10" s="14"/>
      <c r="J10" s="14">
        <f>J49</f>
        <v>35</v>
      </c>
      <c r="K10" s="14">
        <f>IF(J48=12,0,J48)</f>
        <v>0</v>
      </c>
      <c r="L10" s="37"/>
      <c r="M10" s="14"/>
      <c r="N10" s="20"/>
      <c r="O10" s="14"/>
      <c r="P10" s="14"/>
      <c r="Q10" s="14"/>
    </row>
    <row r="11" spans="1:17" ht="12.75">
      <c r="A11" s="7"/>
      <c r="B11" s="7"/>
      <c r="C11" s="136"/>
      <c r="D11" s="5"/>
      <c r="E11" s="5"/>
      <c r="F11" s="5"/>
      <c r="G11" s="5"/>
      <c r="H11" s="14" t="s">
        <v>36</v>
      </c>
      <c r="I11" s="14"/>
      <c r="J11" s="71">
        <f>IF(J53&gt;80,80,J53)</f>
        <v>71</v>
      </c>
      <c r="K11" s="72">
        <f>J11/100</f>
        <v>0.71</v>
      </c>
      <c r="L11" s="37"/>
      <c r="M11" s="14"/>
      <c r="N11" s="49"/>
      <c r="O11" s="14"/>
      <c r="P11" s="14"/>
      <c r="Q11" s="14"/>
    </row>
    <row r="12" spans="1:17" ht="12.75">
      <c r="A12" s="7"/>
      <c r="B12" s="7"/>
      <c r="C12" s="136"/>
      <c r="D12" s="5"/>
      <c r="E12" s="5"/>
      <c r="F12" s="5"/>
      <c r="G12" s="5"/>
      <c r="H12" s="14" t="s">
        <v>19</v>
      </c>
      <c r="I12" s="14"/>
      <c r="J12" s="14">
        <f>J52</f>
        <v>19</v>
      </c>
      <c r="K12" s="14">
        <f>J51</f>
        <v>4</v>
      </c>
      <c r="L12" s="48"/>
      <c r="M12" s="14"/>
      <c r="N12" s="49"/>
      <c r="O12" s="14"/>
      <c r="P12" s="14"/>
      <c r="Q12" s="14"/>
    </row>
    <row r="13" spans="1:17" ht="12.75">
      <c r="A13" s="5" t="s">
        <v>0</v>
      </c>
      <c r="B13" s="7"/>
      <c r="C13" s="5"/>
      <c r="D13" s="7" t="s">
        <v>3</v>
      </c>
      <c r="E13" s="7" t="s">
        <v>2</v>
      </c>
      <c r="F13" s="7" t="s">
        <v>21</v>
      </c>
      <c r="G13" s="5"/>
      <c r="H13" s="14" t="s">
        <v>20</v>
      </c>
      <c r="I13" s="14"/>
      <c r="J13" s="71">
        <f>(J12-15)*J54+35+(K12*0.15)</f>
        <v>42.800000000000004</v>
      </c>
      <c r="K13" s="72">
        <f>J13/100</f>
        <v>0.42800000000000005</v>
      </c>
      <c r="L13" s="48"/>
      <c r="M13" s="14"/>
      <c r="N13" s="49"/>
      <c r="O13" s="14"/>
      <c r="P13" s="14"/>
      <c r="Q13" s="14"/>
    </row>
    <row r="14" spans="1:17" ht="12.75">
      <c r="A14" s="5" t="s">
        <v>70</v>
      </c>
      <c r="B14" s="118">
        <v>2008</v>
      </c>
      <c r="C14" s="5"/>
      <c r="D14" s="222">
        <v>35</v>
      </c>
      <c r="E14" s="222">
        <v>0</v>
      </c>
      <c r="F14" s="222">
        <v>0</v>
      </c>
      <c r="G14" s="5"/>
      <c r="H14" s="22" t="s">
        <v>52</v>
      </c>
      <c r="I14" s="15"/>
      <c r="J14" s="15"/>
      <c r="K14" s="22"/>
      <c r="L14" s="37">
        <f>L9*K13</f>
        <v>14002.4851504</v>
      </c>
      <c r="M14" s="15"/>
      <c r="N14" s="20">
        <f>L14*1936.27</f>
        <v>27112591.922165006</v>
      </c>
      <c r="O14" s="14"/>
      <c r="P14" s="14"/>
      <c r="Q14" s="14"/>
    </row>
    <row r="15" spans="1:17" ht="12.75">
      <c r="A15" s="5" t="s">
        <v>0</v>
      </c>
      <c r="B15" s="7"/>
      <c r="C15" s="5"/>
      <c r="D15" s="5"/>
      <c r="E15" s="5"/>
      <c r="F15" s="5"/>
      <c r="G15" s="5"/>
      <c r="H15" s="14" t="s">
        <v>42</v>
      </c>
      <c r="I15" s="14"/>
      <c r="J15" s="14">
        <f>J12+5</f>
        <v>24</v>
      </c>
      <c r="K15" s="14">
        <f>K12</f>
        <v>4</v>
      </c>
      <c r="L15" s="37"/>
      <c r="M15" s="14"/>
      <c r="N15" s="49"/>
      <c r="O15" s="14"/>
      <c r="P15" s="14"/>
      <c r="Q15" s="14"/>
    </row>
    <row r="16" spans="1:17" ht="12.75">
      <c r="A16" s="5" t="s">
        <v>59</v>
      </c>
      <c r="B16" s="223">
        <v>28</v>
      </c>
      <c r="C16" s="223">
        <v>2007</v>
      </c>
      <c r="D16" s="5"/>
      <c r="E16" s="5"/>
      <c r="F16" s="5"/>
      <c r="G16" s="5"/>
      <c r="H16" s="14" t="s">
        <v>48</v>
      </c>
      <c r="I16" s="14"/>
      <c r="J16" s="71">
        <f>(J15-15)*J55+35+(K15*0.15)</f>
        <v>51.800000000000004</v>
      </c>
      <c r="K16" s="72">
        <f>J16/100</f>
        <v>0.518</v>
      </c>
      <c r="L16" s="38"/>
      <c r="M16" s="21"/>
      <c r="N16" s="49"/>
      <c r="O16" s="14"/>
      <c r="P16" s="14"/>
      <c r="Q16" s="14"/>
    </row>
    <row r="17" spans="1:17" ht="12.75">
      <c r="A17" s="5" t="s">
        <v>73</v>
      </c>
      <c r="B17" s="7"/>
      <c r="C17" s="137">
        <f>L5</f>
        <v>1854.2716666666665</v>
      </c>
      <c r="D17" s="5" t="str">
        <f>IF(INT(C17)=Dati!AF1,"ok","ERR")</f>
        <v>ok</v>
      </c>
      <c r="E17" s="5"/>
      <c r="F17" s="5"/>
      <c r="G17" s="5"/>
      <c r="H17" s="14" t="s">
        <v>43</v>
      </c>
      <c r="I17" s="14"/>
      <c r="J17" s="71">
        <f>J16-J13</f>
        <v>9</v>
      </c>
      <c r="K17" s="72">
        <f>J17/100</f>
        <v>0.09</v>
      </c>
      <c r="L17" s="48"/>
      <c r="M17" s="14"/>
      <c r="N17" s="49"/>
      <c r="O17" s="14"/>
      <c r="P17" s="14"/>
      <c r="Q17" s="14"/>
    </row>
    <row r="18" spans="1:17" ht="12.75">
      <c r="A18" s="232" t="s">
        <v>175</v>
      </c>
      <c r="B18" s="137">
        <f>L27</f>
        <v>22676.721674090906</v>
      </c>
      <c r="C18" s="137">
        <f>L33</f>
        <v>1509.0634728409088</v>
      </c>
      <c r="D18" s="5"/>
      <c r="E18" s="5"/>
      <c r="F18" s="5"/>
      <c r="G18" s="5"/>
      <c r="H18" s="14" t="s">
        <v>78</v>
      </c>
      <c r="I18" s="22"/>
      <c r="J18" s="22"/>
      <c r="K18" s="22"/>
      <c r="L18" s="121">
        <f>VLOOKUP(J5,Dati!A4:Q49,J47)</f>
        <v>19902.436714867006</v>
      </c>
      <c r="M18" s="15"/>
      <c r="N18" s="80">
        <f>L18*1936.27</f>
        <v>38536491.13789554</v>
      </c>
      <c r="O18" s="14"/>
      <c r="P18" s="14"/>
      <c r="Q18" s="14"/>
    </row>
    <row r="19" spans="1:17" ht="13.5" thickBot="1">
      <c r="A19" s="7"/>
      <c r="B19" s="214"/>
      <c r="C19" s="215"/>
      <c r="D19" s="5"/>
      <c r="E19" s="5"/>
      <c r="F19" s="5"/>
      <c r="G19" s="5"/>
      <c r="H19" s="14" t="s">
        <v>45</v>
      </c>
      <c r="I19" s="14"/>
      <c r="J19" s="14"/>
      <c r="K19" s="14"/>
      <c r="L19" s="48">
        <f>L18*1.18</f>
        <v>23484.875323543067</v>
      </c>
      <c r="M19" s="14"/>
      <c r="N19" s="49">
        <f>L19*1936.27</f>
        <v>45473059.542716734</v>
      </c>
      <c r="O19" s="14"/>
      <c r="P19" s="14"/>
      <c r="Q19" s="14"/>
    </row>
    <row r="20" spans="1:17" ht="13.5" thickTop="1">
      <c r="A20" s="192" t="s">
        <v>97</v>
      </c>
      <c r="B20" s="217"/>
      <c r="C20" s="216"/>
      <c r="D20" s="5"/>
      <c r="E20" s="5"/>
      <c r="F20" s="5"/>
      <c r="G20" s="5"/>
      <c r="H20" s="14" t="s">
        <v>44</v>
      </c>
      <c r="I20" s="14"/>
      <c r="J20" s="14"/>
      <c r="K20" s="14"/>
      <c r="L20" s="122">
        <f>VLOOKUP(C10,Dati!S18:U25,3)</f>
        <v>7274.828661176471</v>
      </c>
      <c r="M20" s="14"/>
      <c r="N20" s="49">
        <f>L20*1936.27</f>
        <v>14086032.491776165</v>
      </c>
      <c r="O20" s="14"/>
      <c r="P20" s="14"/>
      <c r="Q20" s="14"/>
    </row>
    <row r="21" spans="1:17" ht="12.75">
      <c r="A21" s="189" t="s">
        <v>98</v>
      </c>
      <c r="B21" s="169"/>
      <c r="C21" s="170"/>
      <c r="D21" s="5"/>
      <c r="E21" s="5"/>
      <c r="F21" s="5"/>
      <c r="G21" s="5"/>
      <c r="H21" s="14" t="s">
        <v>46</v>
      </c>
      <c r="I21" s="14"/>
      <c r="J21" s="14"/>
      <c r="K21" s="50"/>
      <c r="L21" s="48">
        <f>L19+L20</f>
        <v>30759.703984719537</v>
      </c>
      <c r="M21" s="14"/>
      <c r="N21" s="49">
        <f>L21*1936.27</f>
        <v>59559092.034492895</v>
      </c>
      <c r="O21" s="14"/>
      <c r="P21" s="14"/>
      <c r="Q21" s="14"/>
    </row>
    <row r="22" spans="1:17" ht="12.75">
      <c r="A22" s="189"/>
      <c r="B22" s="169"/>
      <c r="C22" s="170"/>
      <c r="D22" s="5"/>
      <c r="E22" s="5"/>
      <c r="F22" s="5"/>
      <c r="G22" s="5"/>
      <c r="H22" s="14" t="s">
        <v>47</v>
      </c>
      <c r="I22" s="14"/>
      <c r="J22" s="14"/>
      <c r="K22" s="14"/>
      <c r="L22" s="48">
        <f>L21*K17</f>
        <v>2768.373358624758</v>
      </c>
      <c r="M22" s="14"/>
      <c r="N22" s="49">
        <f>L22*1936.27</f>
        <v>5360318.28310436</v>
      </c>
      <c r="O22" s="14"/>
      <c r="P22" s="14"/>
      <c r="Q22" s="14"/>
    </row>
    <row r="23" spans="1:17" ht="12.75">
      <c r="A23" s="188" t="s">
        <v>99</v>
      </c>
      <c r="B23" s="169"/>
      <c r="C23" s="170"/>
      <c r="D23" s="5"/>
      <c r="E23" s="5"/>
      <c r="F23" s="5"/>
      <c r="G23" s="5"/>
      <c r="H23" s="14" t="s">
        <v>49</v>
      </c>
      <c r="I23" s="14"/>
      <c r="J23" s="71">
        <f>J11-J16</f>
        <v>19.199999999999996</v>
      </c>
      <c r="K23" s="72">
        <f>J23/100</f>
        <v>0.19199999999999995</v>
      </c>
      <c r="L23" s="48"/>
      <c r="M23" s="14"/>
      <c r="N23" s="49"/>
      <c r="O23" s="14"/>
      <c r="P23" s="14"/>
      <c r="Q23" s="14"/>
    </row>
    <row r="24" spans="1:17" ht="12.75">
      <c r="A24" s="225">
        <v>2</v>
      </c>
      <c r="B24" s="169"/>
      <c r="C24" s="170"/>
      <c r="D24" s="5"/>
      <c r="E24" s="5"/>
      <c r="F24" s="5"/>
      <c r="G24" s="5"/>
      <c r="H24" s="14" t="s">
        <v>50</v>
      </c>
      <c r="I24" s="21"/>
      <c r="J24" s="21"/>
      <c r="K24" s="21"/>
      <c r="L24" s="81">
        <f>L21</f>
        <v>30759.703984719537</v>
      </c>
      <c r="M24" s="14"/>
      <c r="N24" s="49">
        <f aca="true" t="shared" si="0" ref="N24:N29">L24*1936.27</f>
        <v>59559092.034492895</v>
      </c>
      <c r="O24" s="14"/>
      <c r="P24" s="14"/>
      <c r="Q24" s="14"/>
    </row>
    <row r="25" spans="1:17" ht="12.75">
      <c r="A25" s="189"/>
      <c r="B25" s="169"/>
      <c r="C25" s="170"/>
      <c r="D25" s="5"/>
      <c r="E25" s="5"/>
      <c r="F25" s="5"/>
      <c r="G25" s="5"/>
      <c r="H25" s="14" t="s">
        <v>51</v>
      </c>
      <c r="I25" s="14"/>
      <c r="J25" s="14"/>
      <c r="K25" s="14"/>
      <c r="L25" s="48">
        <f>L24*K23</f>
        <v>5905.86316506615</v>
      </c>
      <c r="M25" s="14"/>
      <c r="N25" s="49">
        <f t="shared" si="0"/>
        <v>11435345.670622634</v>
      </c>
      <c r="O25" s="14"/>
      <c r="P25" s="14"/>
      <c r="Q25" s="14"/>
    </row>
    <row r="26" spans="1:17" ht="13.5" thickBot="1">
      <c r="A26" s="190" t="s">
        <v>100</v>
      </c>
      <c r="B26" s="191"/>
      <c r="C26" s="231">
        <v>0.5</v>
      </c>
      <c r="D26" s="5"/>
      <c r="E26" s="5"/>
      <c r="F26" s="5"/>
      <c r="G26" s="5"/>
      <c r="H26" s="22" t="s">
        <v>53</v>
      </c>
      <c r="I26" s="15"/>
      <c r="J26" s="15"/>
      <c r="K26" s="15"/>
      <c r="L26" s="83">
        <f>L22+L25</f>
        <v>8674.236523690908</v>
      </c>
      <c r="M26" s="22"/>
      <c r="N26" s="20">
        <f t="shared" si="0"/>
        <v>16795663.953726996</v>
      </c>
      <c r="O26" s="14"/>
      <c r="P26" s="14"/>
      <c r="Q26" s="14"/>
    </row>
    <row r="27" spans="1:17" ht="14.25" thickBot="1" thickTop="1">
      <c r="A27" s="5"/>
      <c r="B27" s="7"/>
      <c r="C27" s="5"/>
      <c r="D27" s="5"/>
      <c r="E27" s="5"/>
      <c r="F27" s="5"/>
      <c r="G27" s="5"/>
      <c r="H27" s="21" t="s">
        <v>57</v>
      </c>
      <c r="I27" s="14"/>
      <c r="J27" s="14"/>
      <c r="K27" s="14"/>
      <c r="L27" s="82">
        <f>L14+L26</f>
        <v>22676.721674090906</v>
      </c>
      <c r="M27" s="14"/>
      <c r="N27" s="36">
        <f t="shared" si="0"/>
        <v>43908255.875892</v>
      </c>
      <c r="O27" s="14"/>
      <c r="P27" s="14"/>
      <c r="Q27" s="14"/>
    </row>
    <row r="28" spans="1:17" ht="13.5" thickTop="1">
      <c r="A28" s="165" t="s">
        <v>101</v>
      </c>
      <c r="B28" s="166"/>
      <c r="C28" s="167"/>
      <c r="D28" s="5"/>
      <c r="E28" s="5"/>
      <c r="F28" s="5"/>
      <c r="G28" s="5"/>
      <c r="H28" s="22" t="s">
        <v>54</v>
      </c>
      <c r="I28" s="15"/>
      <c r="J28" s="15"/>
      <c r="K28" s="15"/>
      <c r="L28" s="84">
        <f>L27/12</f>
        <v>1889.7268061742423</v>
      </c>
      <c r="M28" s="15"/>
      <c r="N28" s="49">
        <f t="shared" si="0"/>
        <v>3659021.322991</v>
      </c>
      <c r="O28" s="14"/>
      <c r="P28" s="14"/>
      <c r="Q28" s="14"/>
    </row>
    <row r="29" spans="1:17" ht="12.75">
      <c r="A29" s="168" t="s">
        <v>102</v>
      </c>
      <c r="B29" s="169"/>
      <c r="C29" s="170"/>
      <c r="D29" s="5"/>
      <c r="E29" s="5"/>
      <c r="F29" s="5"/>
      <c r="G29" s="5"/>
      <c r="H29" s="15" t="s">
        <v>167</v>
      </c>
      <c r="I29" s="15"/>
      <c r="J29" s="15"/>
      <c r="K29" s="15"/>
      <c r="L29" s="130">
        <f>J84</f>
        <v>460.23</v>
      </c>
      <c r="M29" s="15"/>
      <c r="N29" s="49">
        <f t="shared" si="0"/>
        <v>891129.5421000001</v>
      </c>
      <c r="O29" s="14"/>
      <c r="P29" s="14"/>
      <c r="Q29" s="14"/>
    </row>
    <row r="30" spans="1:17" ht="12.75">
      <c r="A30" s="171"/>
      <c r="B30" s="169"/>
      <c r="C30" s="170"/>
      <c r="D30" s="5"/>
      <c r="E30" s="5"/>
      <c r="F30" s="5"/>
      <c r="G30" s="5"/>
      <c r="H30" s="15" t="s">
        <v>135</v>
      </c>
      <c r="I30" s="15"/>
      <c r="J30" s="15"/>
      <c r="K30" s="227">
        <f>K86</f>
        <v>79.56666666666666</v>
      </c>
      <c r="L30" s="130"/>
      <c r="M30" s="15"/>
      <c r="N30" s="49"/>
      <c r="O30" s="14"/>
      <c r="P30" s="14"/>
      <c r="Q30" s="14"/>
    </row>
    <row r="31" spans="1:17" ht="12.75">
      <c r="A31" s="171"/>
      <c r="B31" s="226">
        <v>0</v>
      </c>
      <c r="C31" s="172"/>
      <c r="D31" s="5"/>
      <c r="E31" s="5"/>
      <c r="F31" s="5"/>
      <c r="G31" s="5"/>
      <c r="H31" s="15" t="s">
        <v>96</v>
      </c>
      <c r="I31" s="15"/>
      <c r="J31" s="15"/>
      <c r="K31" s="227">
        <f>K87</f>
        <v>0</v>
      </c>
      <c r="L31" s="130"/>
      <c r="M31" s="15"/>
      <c r="N31" s="49"/>
      <c r="O31" s="14"/>
      <c r="P31" s="14"/>
      <c r="Q31" s="14"/>
    </row>
    <row r="32" spans="1:17" ht="12.75">
      <c r="A32" s="171"/>
      <c r="B32" s="169"/>
      <c r="C32" s="170"/>
      <c r="D32" s="5"/>
      <c r="E32" s="5"/>
      <c r="F32" s="5"/>
      <c r="G32" s="5"/>
      <c r="H32" s="15" t="s">
        <v>172</v>
      </c>
      <c r="I32" s="14"/>
      <c r="J32" s="14"/>
      <c r="K32" s="14"/>
      <c r="L32" s="133">
        <f>IF(K84&lt;0,0,K84)</f>
        <v>380.66333333333336</v>
      </c>
      <c r="M32" s="14"/>
      <c r="N32" s="49">
        <f>L32*1936.27</f>
        <v>737066.9924333334</v>
      </c>
      <c r="O32" s="14"/>
      <c r="P32" s="14"/>
      <c r="Q32" s="14"/>
    </row>
    <row r="33" spans="1:17" ht="12.75">
      <c r="A33" s="171" t="s">
        <v>103</v>
      </c>
      <c r="B33" s="169"/>
      <c r="C33" s="173">
        <v>0</v>
      </c>
      <c r="D33" s="5"/>
      <c r="E33" s="5"/>
      <c r="F33" s="5"/>
      <c r="G33" s="5"/>
      <c r="H33" s="21" t="s">
        <v>55</v>
      </c>
      <c r="I33" s="14"/>
      <c r="J33" s="14"/>
      <c r="K33" s="14"/>
      <c r="L33" s="88">
        <f>L28-L32</f>
        <v>1509.0634728409088</v>
      </c>
      <c r="M33" s="14"/>
      <c r="N33" s="36">
        <f>L33*1936.27</f>
        <v>2921954.3305576667</v>
      </c>
      <c r="O33" s="14"/>
      <c r="P33" s="14"/>
      <c r="Q33" s="14"/>
    </row>
    <row r="34" spans="1:17" ht="12.75">
      <c r="A34" s="171" t="s">
        <v>104</v>
      </c>
      <c r="B34" s="169"/>
      <c r="C34" s="173">
        <v>0</v>
      </c>
      <c r="D34" s="5"/>
      <c r="E34" s="5"/>
      <c r="F34" s="5"/>
      <c r="G34" s="5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71" t="s">
        <v>105</v>
      </c>
      <c r="B35" s="169"/>
      <c r="C35" s="173">
        <v>0</v>
      </c>
      <c r="D35" s="5"/>
      <c r="E35" s="5"/>
      <c r="F35" s="5"/>
      <c r="G35" s="5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71"/>
      <c r="B36" s="169"/>
      <c r="C36" s="174"/>
      <c r="D36" s="5"/>
      <c r="E36" s="5"/>
      <c r="F36" s="5"/>
      <c r="G36" s="5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71" t="s">
        <v>106</v>
      </c>
      <c r="B37" s="169"/>
      <c r="C37" s="173">
        <v>0</v>
      </c>
      <c r="D37" s="5"/>
      <c r="E37" s="5"/>
      <c r="F37" s="5"/>
      <c r="G37" s="5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3.5" thickBot="1">
      <c r="A38" s="175"/>
      <c r="B38" s="176"/>
      <c r="C38" s="177"/>
      <c r="D38" s="5"/>
      <c r="E38" s="5"/>
      <c r="F38" s="5"/>
      <c r="G38" s="5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3.5" thickTop="1">
      <c r="A39" s="5"/>
      <c r="B39" s="7"/>
      <c r="C39" s="5"/>
      <c r="D39" s="5"/>
      <c r="E39" s="5"/>
      <c r="F39" s="5"/>
      <c r="G39" s="5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 thickBot="1">
      <c r="A40" s="5"/>
      <c r="B40" s="7"/>
      <c r="C40" s="5"/>
      <c r="D40" s="5"/>
      <c r="E40" s="5"/>
      <c r="F40" s="5"/>
      <c r="G40" s="5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3.5" thickTop="1">
      <c r="A41" s="165" t="s">
        <v>107</v>
      </c>
      <c r="B41" s="166"/>
      <c r="C41" s="167"/>
      <c r="D41" s="5"/>
      <c r="E41" s="5"/>
      <c r="F41" s="5"/>
      <c r="G41" s="5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68" t="s">
        <v>108</v>
      </c>
      <c r="B42" s="169"/>
      <c r="C42" s="170"/>
      <c r="D42" s="5"/>
      <c r="E42" s="5"/>
      <c r="F42" s="5"/>
      <c r="G42" s="5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2.75">
      <c r="A43" s="171" t="s">
        <v>109</v>
      </c>
      <c r="B43" s="169"/>
      <c r="C43" s="170"/>
      <c r="D43" s="5"/>
      <c r="E43" s="5"/>
      <c r="F43" s="5"/>
      <c r="G43" s="5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>
      <c r="A44" s="171"/>
      <c r="B44" s="169"/>
      <c r="C44" s="170"/>
      <c r="D44" s="5"/>
      <c r="E44" s="5"/>
      <c r="F44" s="5"/>
      <c r="G44" s="5"/>
      <c r="H44" s="24" t="s">
        <v>63</v>
      </c>
      <c r="I44" s="24"/>
      <c r="J44" s="74">
        <f>B14</f>
        <v>2008</v>
      </c>
      <c r="K44" s="24"/>
      <c r="L44" s="219">
        <v>2008</v>
      </c>
      <c r="M44" s="24"/>
      <c r="N44" s="24"/>
      <c r="O44" s="24"/>
      <c r="P44" s="24"/>
      <c r="Q44" s="24"/>
    </row>
    <row r="45" spans="1:17" ht="12.75">
      <c r="A45" s="171" t="s">
        <v>138</v>
      </c>
      <c r="B45" s="169"/>
      <c r="C45" s="170"/>
      <c r="D45" s="5"/>
      <c r="E45" s="5"/>
      <c r="F45" s="5"/>
      <c r="G45" s="5"/>
      <c r="H45" s="24" t="s">
        <v>22</v>
      </c>
      <c r="I45" s="24"/>
      <c r="J45" s="74">
        <f>B16+J44-C16</f>
        <v>29</v>
      </c>
      <c r="K45" s="24"/>
      <c r="L45" s="220">
        <v>2007</v>
      </c>
      <c r="M45" s="24"/>
      <c r="N45" s="24"/>
      <c r="O45" s="24"/>
      <c r="P45" s="24"/>
      <c r="Q45" s="24"/>
    </row>
    <row r="46" spans="1:17" ht="12.75">
      <c r="A46" s="171"/>
      <c r="B46" s="226">
        <v>0</v>
      </c>
      <c r="C46" s="170"/>
      <c r="D46" s="5"/>
      <c r="E46" s="5"/>
      <c r="F46" s="5"/>
      <c r="G46" s="5"/>
      <c r="H46" s="24" t="s">
        <v>23</v>
      </c>
      <c r="I46" s="24"/>
      <c r="J46" s="24">
        <f>2*C10</f>
        <v>14</v>
      </c>
      <c r="K46" s="24"/>
      <c r="L46" s="220">
        <v>2006</v>
      </c>
      <c r="M46" s="24"/>
      <c r="N46" s="24"/>
      <c r="O46" s="24"/>
      <c r="P46" s="24"/>
      <c r="Q46" s="24"/>
    </row>
    <row r="47" spans="1:17" ht="12.75">
      <c r="A47" s="171"/>
      <c r="B47" s="226">
        <v>0</v>
      </c>
      <c r="C47" s="170"/>
      <c r="D47" s="5"/>
      <c r="E47" s="5"/>
      <c r="F47" s="5"/>
      <c r="G47" s="5"/>
      <c r="H47" s="24" t="s">
        <v>24</v>
      </c>
      <c r="I47" s="24"/>
      <c r="J47" s="24">
        <f>2*C10+1</f>
        <v>15</v>
      </c>
      <c r="K47" s="24"/>
      <c r="L47" s="220">
        <v>2005</v>
      </c>
      <c r="M47" s="24"/>
      <c r="N47" s="24"/>
      <c r="O47" s="24"/>
      <c r="P47" s="24"/>
      <c r="Q47" s="24"/>
    </row>
    <row r="48" spans="1:17" ht="12.75">
      <c r="A48" s="171"/>
      <c r="B48" s="169"/>
      <c r="C48" s="170"/>
      <c r="D48" s="5"/>
      <c r="E48" s="5"/>
      <c r="F48" s="5"/>
      <c r="G48" s="5"/>
      <c r="H48" s="24" t="s">
        <v>37</v>
      </c>
      <c r="I48" s="24"/>
      <c r="J48" s="24">
        <f>IF(F14&gt;15,E14+1,E14)</f>
        <v>0</v>
      </c>
      <c r="K48" s="24"/>
      <c r="L48" s="220">
        <v>2004</v>
      </c>
      <c r="M48" s="24"/>
      <c r="N48" s="24"/>
      <c r="O48" s="24"/>
      <c r="P48" s="24"/>
      <c r="Q48" s="24"/>
    </row>
    <row r="49" spans="1:17" ht="12.75">
      <c r="A49" s="171" t="s">
        <v>110</v>
      </c>
      <c r="B49" s="169"/>
      <c r="C49" s="170"/>
      <c r="D49" s="5"/>
      <c r="E49" s="5"/>
      <c r="F49" s="5"/>
      <c r="G49" s="5"/>
      <c r="H49" s="24" t="s">
        <v>38</v>
      </c>
      <c r="I49" s="24"/>
      <c r="J49" s="24">
        <f>IF(J48=12,D14+1,D14)</f>
        <v>35</v>
      </c>
      <c r="K49" s="24"/>
      <c r="L49" s="220">
        <v>2003</v>
      </c>
      <c r="M49" s="24"/>
      <c r="N49" s="24"/>
      <c r="O49" s="24"/>
      <c r="P49" s="24"/>
      <c r="Q49" s="24"/>
    </row>
    <row r="50" spans="1:17" ht="12.75">
      <c r="A50" s="171" t="s">
        <v>141</v>
      </c>
      <c r="B50" s="169"/>
      <c r="C50" s="173">
        <v>0</v>
      </c>
      <c r="D50" s="5"/>
      <c r="E50" s="5"/>
      <c r="F50" s="5"/>
      <c r="G50" s="5"/>
      <c r="H50" s="24" t="s">
        <v>40</v>
      </c>
      <c r="I50" s="24"/>
      <c r="J50" s="24">
        <f>K10+K50</f>
        <v>4</v>
      </c>
      <c r="K50" s="24">
        <v>4</v>
      </c>
      <c r="L50" s="220">
        <v>2002</v>
      </c>
      <c r="M50" s="24"/>
      <c r="N50" s="24"/>
      <c r="O50" s="24"/>
      <c r="P50" s="24"/>
      <c r="Q50" s="24"/>
    </row>
    <row r="51" spans="1:17" ht="12.75">
      <c r="A51" s="171" t="s">
        <v>133</v>
      </c>
      <c r="B51" s="169"/>
      <c r="C51" s="173">
        <v>0</v>
      </c>
      <c r="D51" s="5"/>
      <c r="E51" s="5"/>
      <c r="F51" s="5"/>
      <c r="G51" s="5"/>
      <c r="H51" s="24" t="s">
        <v>39</v>
      </c>
      <c r="I51" s="24"/>
      <c r="J51" s="24">
        <f>IF(J50&gt;11,J50-12,J50)</f>
        <v>4</v>
      </c>
      <c r="K51" s="24"/>
      <c r="L51" s="129">
        <v>2001</v>
      </c>
      <c r="M51" s="24"/>
      <c r="N51" s="24"/>
      <c r="O51" s="24"/>
      <c r="P51" s="24"/>
      <c r="Q51" s="24"/>
    </row>
    <row r="52" spans="1:17" ht="12.75">
      <c r="A52" s="171" t="s">
        <v>142</v>
      </c>
      <c r="B52" s="169"/>
      <c r="C52" s="173">
        <v>0</v>
      </c>
      <c r="D52" s="5"/>
      <c r="E52" s="5"/>
      <c r="F52" s="5"/>
      <c r="G52" s="5"/>
      <c r="H52" s="24" t="s">
        <v>41</v>
      </c>
      <c r="I52" s="24"/>
      <c r="J52" s="24">
        <f>IF(J50&gt;11,J10-K52+1,J10-K52)</f>
        <v>19</v>
      </c>
      <c r="K52" s="24">
        <f>J44-1992</f>
        <v>16</v>
      </c>
      <c r="L52" s="33"/>
      <c r="M52" s="24"/>
      <c r="N52" s="24"/>
      <c r="O52" s="24"/>
      <c r="P52" s="24"/>
      <c r="Q52" s="24"/>
    </row>
    <row r="53" spans="1:17" ht="12.75">
      <c r="A53" s="171"/>
      <c r="B53" s="169"/>
      <c r="C53" s="174"/>
      <c r="D53" s="5"/>
      <c r="E53" s="5"/>
      <c r="F53" s="5"/>
      <c r="G53" s="5"/>
      <c r="H53" s="24" t="s">
        <v>58</v>
      </c>
      <c r="I53" s="24"/>
      <c r="J53" s="91">
        <f>(J10-15)*1.8+35+(K10*0.15)</f>
        <v>71</v>
      </c>
      <c r="K53" s="24"/>
      <c r="L53" s="52"/>
      <c r="M53" s="24"/>
      <c r="N53" s="24"/>
      <c r="O53" s="24"/>
      <c r="P53" s="24"/>
      <c r="Q53" s="24"/>
    </row>
    <row r="54" spans="1:17" ht="12.75">
      <c r="A54" s="171" t="s">
        <v>106</v>
      </c>
      <c r="B54" s="169"/>
      <c r="C54" s="173">
        <v>0</v>
      </c>
      <c r="D54" s="5"/>
      <c r="E54" s="5"/>
      <c r="F54" s="5"/>
      <c r="G54" s="5"/>
      <c r="H54" s="24" t="s">
        <v>61</v>
      </c>
      <c r="I54" s="24"/>
      <c r="J54" s="24">
        <f>IF(J12&gt;14,1.8,2.33333)</f>
        <v>1.8</v>
      </c>
      <c r="K54" s="24"/>
      <c r="L54" s="25"/>
      <c r="M54" s="24"/>
      <c r="N54" s="24"/>
      <c r="O54" s="24"/>
      <c r="P54" s="24"/>
      <c r="Q54" s="24"/>
    </row>
    <row r="55" spans="1:17" ht="13.5" thickBot="1">
      <c r="A55" s="175"/>
      <c r="B55" s="176"/>
      <c r="C55" s="177"/>
      <c r="D55" s="5"/>
      <c r="E55" s="5"/>
      <c r="F55" s="5"/>
      <c r="G55" s="5"/>
      <c r="H55" s="24" t="s">
        <v>62</v>
      </c>
      <c r="I55" s="24"/>
      <c r="J55" s="24">
        <f>IF(J15&gt;14,1.8,2.33333)</f>
        <v>1.8</v>
      </c>
      <c r="K55" s="24"/>
      <c r="L55" s="25"/>
      <c r="M55" s="24"/>
      <c r="N55" s="24"/>
      <c r="O55" s="24"/>
      <c r="P55" s="24"/>
      <c r="Q55" s="24"/>
    </row>
    <row r="56" spans="1:17" ht="13.5" thickTop="1">
      <c r="A56" s="5"/>
      <c r="B56" s="7"/>
      <c r="C56" s="5"/>
      <c r="D56" s="5"/>
      <c r="E56" s="5"/>
      <c r="F56" s="5"/>
      <c r="G56" s="5"/>
      <c r="H56" s="24"/>
      <c r="I56" s="24"/>
      <c r="J56" s="24"/>
      <c r="K56" s="24"/>
      <c r="L56" s="25"/>
      <c r="M56" s="24"/>
      <c r="N56" s="24"/>
      <c r="O56" s="24"/>
      <c r="P56" s="24"/>
      <c r="Q56" s="24"/>
    </row>
    <row r="57" spans="1:17" ht="12.75">
      <c r="A57" s="5"/>
      <c r="B57" s="7"/>
      <c r="C57" s="5"/>
      <c r="D57" s="5"/>
      <c r="E57" s="5"/>
      <c r="F57" s="5"/>
      <c r="G57" s="5"/>
      <c r="H57" s="24"/>
      <c r="I57" s="24"/>
      <c r="J57" s="24"/>
      <c r="K57" s="24"/>
      <c r="L57" s="51"/>
      <c r="M57" s="24"/>
      <c r="N57" s="24"/>
      <c r="O57" s="24"/>
      <c r="P57" s="24"/>
      <c r="Q57" s="24"/>
    </row>
    <row r="58" spans="1:17" ht="12.75">
      <c r="A58" s="5"/>
      <c r="B58" s="7"/>
      <c r="C58" s="5"/>
      <c r="D58" s="5"/>
      <c r="E58" s="5"/>
      <c r="F58" s="5"/>
      <c r="G58" s="5"/>
      <c r="H58" s="24"/>
      <c r="I58" s="24"/>
      <c r="J58" s="24"/>
      <c r="K58" s="24"/>
      <c r="L58" s="26"/>
      <c r="M58" s="24"/>
      <c r="N58" s="24"/>
      <c r="O58" s="24"/>
      <c r="P58" s="24"/>
      <c r="Q58" s="24"/>
    </row>
    <row r="59" spans="1:17" ht="12.75">
      <c r="A59" s="5"/>
      <c r="B59" s="7"/>
      <c r="C59" s="5"/>
      <c r="D59" s="5"/>
      <c r="E59" s="5"/>
      <c r="F59" s="5"/>
      <c r="G59" s="5"/>
      <c r="H59" s="24"/>
      <c r="I59" s="24"/>
      <c r="J59" s="24"/>
      <c r="K59" s="24"/>
      <c r="L59" s="25"/>
      <c r="M59" s="24"/>
      <c r="N59" s="24"/>
      <c r="O59" s="24"/>
      <c r="P59" s="24"/>
      <c r="Q59" s="24"/>
    </row>
    <row r="60" spans="1:17" ht="12.75">
      <c r="A60" s="5"/>
      <c r="B60" s="7"/>
      <c r="C60" s="5"/>
      <c r="D60" s="5"/>
      <c r="E60" s="5"/>
      <c r="F60" s="5"/>
      <c r="G60" s="5"/>
      <c r="H60" s="24" t="s">
        <v>26</v>
      </c>
      <c r="I60" s="24"/>
      <c r="J60" s="138">
        <f>IF(A10="Collaboratore scolastico",1,IF(A10="Assistente amministrativo/tecnico",2,IF(A10="Responsabile amministrativo",3,0)))</f>
        <v>0</v>
      </c>
      <c r="K60" s="138">
        <v>0</v>
      </c>
      <c r="L60" s="25"/>
      <c r="M60" s="24"/>
      <c r="N60" s="24"/>
      <c r="O60" s="24"/>
      <c r="P60" s="24"/>
      <c r="Q60" s="24"/>
    </row>
    <row r="61" spans="1:17" ht="12.75">
      <c r="A61" s="5"/>
      <c r="B61" s="7"/>
      <c r="C61" s="5"/>
      <c r="D61" s="5"/>
      <c r="E61" s="5"/>
      <c r="F61" s="5"/>
      <c r="G61" s="5"/>
      <c r="H61" s="24" t="s">
        <v>74</v>
      </c>
      <c r="I61" s="24"/>
      <c r="J61" s="138">
        <f>IF(A10="Insegnante scuola materna",4,IF(A10="Insegnante scuola elementare",5,IF(A10="Insegnante diplomato secondaria",6,IF(A10="Insegnante scuola media",7,IF(A10="Insegnante second. superiore",8,0)))))</f>
        <v>7</v>
      </c>
      <c r="K61" s="138">
        <v>3</v>
      </c>
      <c r="L61" s="51"/>
      <c r="M61" s="24"/>
      <c r="N61" s="24"/>
      <c r="O61" s="24"/>
      <c r="P61" s="24"/>
      <c r="Q61" s="24"/>
    </row>
    <row r="62" spans="1:17" ht="12.75">
      <c r="A62" s="5"/>
      <c r="B62" s="7"/>
      <c r="C62" s="5"/>
      <c r="D62" s="5"/>
      <c r="E62" s="5"/>
      <c r="F62" s="5"/>
      <c r="G62" s="5"/>
      <c r="H62" s="24" t="s">
        <v>68</v>
      </c>
      <c r="I62" s="24"/>
      <c r="J62" s="138"/>
      <c r="K62" s="138">
        <v>9</v>
      </c>
      <c r="L62" s="51"/>
      <c r="M62" s="24"/>
      <c r="N62" s="24"/>
      <c r="O62" s="24"/>
      <c r="P62" s="24"/>
      <c r="Q62" s="24"/>
    </row>
    <row r="63" spans="1:17" ht="12.75">
      <c r="A63" s="5"/>
      <c r="B63" s="7"/>
      <c r="C63" s="5"/>
      <c r="D63" s="5"/>
      <c r="E63" s="5"/>
      <c r="F63" s="5"/>
      <c r="G63" s="5"/>
      <c r="H63" s="24" t="s">
        <v>28</v>
      </c>
      <c r="I63" s="24"/>
      <c r="J63" s="138"/>
      <c r="K63" s="138">
        <v>15</v>
      </c>
      <c r="L63" s="51"/>
      <c r="M63" s="24"/>
      <c r="N63" s="24"/>
      <c r="O63" s="24"/>
      <c r="P63" s="24"/>
      <c r="Q63" s="24"/>
    </row>
    <row r="64" spans="1:17" ht="12.75">
      <c r="A64" s="5"/>
      <c r="B64" s="7"/>
      <c r="C64" s="5"/>
      <c r="D64" s="5"/>
      <c r="E64" s="5"/>
      <c r="F64" s="5"/>
      <c r="G64" s="5"/>
      <c r="H64" s="24" t="s">
        <v>29</v>
      </c>
      <c r="I64" s="24"/>
      <c r="J64" s="138"/>
      <c r="K64" s="138">
        <v>21</v>
      </c>
      <c r="L64" s="51"/>
      <c r="M64" s="24"/>
      <c r="N64" s="24"/>
      <c r="O64" s="24"/>
      <c r="P64" s="24"/>
      <c r="Q64" s="24"/>
    </row>
    <row r="65" spans="1:17" ht="12.75">
      <c r="A65" s="5"/>
      <c r="B65" s="7"/>
      <c r="C65" s="5"/>
      <c r="D65" s="5"/>
      <c r="E65" s="5"/>
      <c r="F65" s="5"/>
      <c r="G65" s="5"/>
      <c r="H65" s="24" t="s">
        <v>75</v>
      </c>
      <c r="I65" s="24"/>
      <c r="J65" s="138"/>
      <c r="K65" s="138">
        <v>28</v>
      </c>
      <c r="L65" s="24"/>
      <c r="M65" s="24"/>
      <c r="N65" s="24"/>
      <c r="O65" s="24"/>
      <c r="P65" s="24"/>
      <c r="Q65" s="24"/>
    </row>
    <row r="66" spans="1:17" ht="12.75">
      <c r="A66" s="5"/>
      <c r="B66" s="7"/>
      <c r="C66" s="5"/>
      <c r="D66" s="5"/>
      <c r="E66" s="5"/>
      <c r="F66" s="5"/>
      <c r="G66" s="5"/>
      <c r="H66" s="24" t="s">
        <v>31</v>
      </c>
      <c r="I66" s="24"/>
      <c r="J66" s="138"/>
      <c r="K66" s="138">
        <v>35</v>
      </c>
      <c r="L66" s="24"/>
      <c r="M66" s="24"/>
      <c r="N66" s="24"/>
      <c r="O66" s="24"/>
      <c r="P66" s="24"/>
      <c r="Q66" s="24"/>
    </row>
    <row r="67" spans="1:17" ht="12.75">
      <c r="A67" s="5"/>
      <c r="B67" s="7"/>
      <c r="C67" s="5"/>
      <c r="D67" s="5"/>
      <c r="E67" s="5"/>
      <c r="F67" s="5"/>
      <c r="G67" s="5"/>
      <c r="H67" s="24" t="s">
        <v>76</v>
      </c>
      <c r="I67" s="24"/>
      <c r="J67" s="24"/>
      <c r="K67" s="24"/>
      <c r="L67" s="183"/>
      <c r="M67" s="24"/>
      <c r="N67" s="24"/>
      <c r="O67" s="24"/>
      <c r="P67" s="24"/>
      <c r="Q67" s="24"/>
    </row>
    <row r="68" spans="1:17" ht="12.75">
      <c r="A68" s="5"/>
      <c r="B68" s="7"/>
      <c r="C68" s="5"/>
      <c r="D68" s="5"/>
      <c r="E68" s="5"/>
      <c r="F68" s="5"/>
      <c r="G68" s="5"/>
      <c r="H68" s="24"/>
      <c r="I68" s="24"/>
      <c r="J68" s="24"/>
      <c r="K68" s="126" t="s">
        <v>144</v>
      </c>
      <c r="L68" s="126" t="s">
        <v>143</v>
      </c>
      <c r="M68" s="24"/>
      <c r="N68" s="24"/>
      <c r="O68" s="24"/>
      <c r="P68" s="24"/>
      <c r="Q68" s="24"/>
    </row>
    <row r="69" spans="1:17" ht="12.75">
      <c r="A69" s="5"/>
      <c r="B69" s="7"/>
      <c r="C69" s="5"/>
      <c r="D69" s="5"/>
      <c r="E69" s="5"/>
      <c r="F69" s="5"/>
      <c r="G69" s="5"/>
      <c r="H69" s="140" t="s">
        <v>56</v>
      </c>
      <c r="I69" s="141"/>
      <c r="J69" s="141"/>
      <c r="K69" s="142">
        <f>L27</f>
        <v>22676.721674090906</v>
      </c>
      <c r="L69" s="142">
        <f>L27*1.08333333</f>
        <v>24566.448404676077</v>
      </c>
      <c r="M69" s="24"/>
      <c r="N69" s="24"/>
      <c r="O69" s="24"/>
      <c r="P69" s="24"/>
      <c r="Q69" s="24"/>
    </row>
    <row r="70" spans="1:17" ht="12.75">
      <c r="A70" s="5"/>
      <c r="B70" s="7"/>
      <c r="C70" s="5"/>
      <c r="D70" s="5"/>
      <c r="E70" s="5"/>
      <c r="F70" s="5"/>
      <c r="G70" s="5"/>
      <c r="H70" s="143" t="s">
        <v>79</v>
      </c>
      <c r="I70" s="141"/>
      <c r="J70" s="144"/>
      <c r="K70" s="144"/>
      <c r="L70" s="145"/>
      <c r="M70" s="24"/>
      <c r="N70" s="24"/>
      <c r="O70" s="24"/>
      <c r="P70" s="24"/>
      <c r="Q70" s="24"/>
    </row>
    <row r="71" spans="1:17" ht="12.75">
      <c r="A71" s="5"/>
      <c r="B71" s="7"/>
      <c r="C71" s="5"/>
      <c r="D71" s="5"/>
      <c r="E71" s="5"/>
      <c r="F71" s="5"/>
      <c r="G71" s="5"/>
      <c r="H71" s="140" t="s">
        <v>80</v>
      </c>
      <c r="I71" s="146"/>
      <c r="J71" s="147">
        <v>15000</v>
      </c>
      <c r="K71" s="148">
        <v>0.23</v>
      </c>
      <c r="L71" s="149"/>
      <c r="M71" s="24"/>
      <c r="N71" s="24"/>
      <c r="O71" s="24"/>
      <c r="P71" s="24"/>
      <c r="Q71" s="24"/>
    </row>
    <row r="72" spans="1:17" ht="12.75">
      <c r="A72" s="5"/>
      <c r="B72" s="7"/>
      <c r="C72" s="5"/>
      <c r="D72" s="5"/>
      <c r="E72" s="5"/>
      <c r="F72" s="5"/>
      <c r="G72" s="5"/>
      <c r="H72" s="140" t="s">
        <v>81</v>
      </c>
      <c r="I72" s="146"/>
      <c r="J72" s="147">
        <v>28000</v>
      </c>
      <c r="K72" s="148">
        <v>0.27</v>
      </c>
      <c r="L72" s="147">
        <f>J71*0.04</f>
        <v>600</v>
      </c>
      <c r="M72" s="24"/>
      <c r="N72" s="24"/>
      <c r="O72" s="24"/>
      <c r="P72" s="24"/>
      <c r="Q72" s="24"/>
    </row>
    <row r="73" spans="1:17" ht="12.75">
      <c r="A73" s="5"/>
      <c r="B73" s="7"/>
      <c r="C73" s="5"/>
      <c r="D73" s="5"/>
      <c r="E73" s="5"/>
      <c r="F73" s="5"/>
      <c r="G73" s="5"/>
      <c r="H73" s="140" t="s">
        <v>82</v>
      </c>
      <c r="I73" s="146"/>
      <c r="J73" s="147">
        <v>55000</v>
      </c>
      <c r="K73" s="148">
        <v>0.38</v>
      </c>
      <c r="L73" s="147">
        <f>L72+J72*0.11</f>
        <v>3680</v>
      </c>
      <c r="M73" s="24"/>
      <c r="N73" s="24"/>
      <c r="O73" s="24"/>
      <c r="P73" s="24"/>
      <c r="Q73" s="24"/>
    </row>
    <row r="74" spans="1:17" ht="12.75">
      <c r="A74" s="5"/>
      <c r="B74" s="7"/>
      <c r="C74" s="5"/>
      <c r="D74" s="5"/>
      <c r="E74" s="5"/>
      <c r="F74" s="5"/>
      <c r="G74" s="5"/>
      <c r="H74" s="140" t="s">
        <v>83</v>
      </c>
      <c r="I74" s="146"/>
      <c r="J74" s="147">
        <v>75000</v>
      </c>
      <c r="K74" s="148">
        <v>0.41</v>
      </c>
      <c r="L74" s="147">
        <f>L73+J73*0.03</f>
        <v>5330</v>
      </c>
      <c r="M74" s="24"/>
      <c r="N74" s="24"/>
      <c r="O74" s="24"/>
      <c r="P74" s="24"/>
      <c r="Q74" s="24"/>
    </row>
    <row r="75" spans="1:17" ht="12.75">
      <c r="A75" s="5"/>
      <c r="B75" s="7"/>
      <c r="C75" s="5"/>
      <c r="D75" s="5"/>
      <c r="E75" s="5"/>
      <c r="F75" s="5"/>
      <c r="G75" s="5"/>
      <c r="H75" s="140" t="s">
        <v>84</v>
      </c>
      <c r="I75" s="146"/>
      <c r="J75" s="150"/>
      <c r="K75" s="148">
        <v>0.43</v>
      </c>
      <c r="L75" s="147">
        <f>L74+J74*0.02</f>
        <v>6830</v>
      </c>
      <c r="M75" s="24"/>
      <c r="N75" s="24"/>
      <c r="O75" s="24"/>
      <c r="P75" s="24"/>
      <c r="Q75" s="24"/>
    </row>
    <row r="76" spans="1:17" ht="12.75">
      <c r="A76" s="5"/>
      <c r="B76" s="7"/>
      <c r="C76" s="5"/>
      <c r="D76" s="5"/>
      <c r="E76" s="5"/>
      <c r="F76" s="5"/>
      <c r="G76" s="5"/>
      <c r="H76" s="143" t="s">
        <v>85</v>
      </c>
      <c r="I76" s="141"/>
      <c r="J76" s="151"/>
      <c r="K76" s="152"/>
      <c r="L76" s="25"/>
      <c r="M76" s="24"/>
      <c r="N76" s="24"/>
      <c r="O76" s="24"/>
      <c r="P76" s="24"/>
      <c r="Q76" s="24"/>
    </row>
    <row r="77" spans="1:17" ht="12.75">
      <c r="A77" s="5"/>
      <c r="B77" s="7" t="s">
        <v>0</v>
      </c>
      <c r="C77" s="5"/>
      <c r="D77" s="5"/>
      <c r="E77" s="5"/>
      <c r="F77" s="5"/>
      <c r="G77" s="5"/>
      <c r="H77" s="140" t="s">
        <v>86</v>
      </c>
      <c r="I77" s="146"/>
      <c r="J77" s="153">
        <f>K69*K71</f>
        <v>5215.645985040908</v>
      </c>
      <c r="K77" s="152"/>
      <c r="L77" s="25"/>
      <c r="M77" s="24"/>
      <c r="N77" s="24"/>
      <c r="O77" s="24"/>
      <c r="P77" s="24"/>
      <c r="Q77" s="24"/>
    </row>
    <row r="78" spans="1:17" ht="12.75">
      <c r="A78" s="5"/>
      <c r="B78" s="7" t="s">
        <v>0</v>
      </c>
      <c r="C78" s="5"/>
      <c r="D78" s="5"/>
      <c r="E78" s="5"/>
      <c r="F78" s="5"/>
      <c r="G78" s="5"/>
      <c r="H78" s="140" t="s">
        <v>87</v>
      </c>
      <c r="I78" s="146"/>
      <c r="J78" s="153">
        <f>K69*K72-L72</f>
        <v>5522.714852004545</v>
      </c>
      <c r="K78" s="152"/>
      <c r="L78" s="25"/>
      <c r="M78" s="24"/>
      <c r="N78" s="24"/>
      <c r="O78" s="24"/>
      <c r="P78" s="24"/>
      <c r="Q78" s="24"/>
    </row>
    <row r="79" spans="1:17" ht="12.75">
      <c r="A79" s="5"/>
      <c r="B79" s="7" t="s">
        <v>0</v>
      </c>
      <c r="C79" s="5"/>
      <c r="D79" s="5"/>
      <c r="E79" s="5"/>
      <c r="F79" s="5"/>
      <c r="G79" s="5"/>
      <c r="H79" s="140" t="s">
        <v>88</v>
      </c>
      <c r="I79" s="146"/>
      <c r="J79" s="153">
        <f>K69*K73-L73</f>
        <v>4937.154236154545</v>
      </c>
      <c r="K79" s="152"/>
      <c r="L79" s="25"/>
      <c r="M79" s="24"/>
      <c r="N79" s="24"/>
      <c r="O79" s="24"/>
      <c r="P79" s="24"/>
      <c r="Q79" s="24"/>
    </row>
    <row r="80" spans="1:17" ht="12.75">
      <c r="A80" s="5"/>
      <c r="B80" s="7" t="s">
        <v>0</v>
      </c>
      <c r="C80" s="5"/>
      <c r="D80" s="5"/>
      <c r="E80" s="5"/>
      <c r="F80" s="5"/>
      <c r="G80" s="5"/>
      <c r="H80" s="140" t="s">
        <v>89</v>
      </c>
      <c r="I80" s="146"/>
      <c r="J80" s="153">
        <f>K69*K74-L74</f>
        <v>3967.455886377271</v>
      </c>
      <c r="K80" s="152"/>
      <c r="L80" s="25"/>
      <c r="M80" s="24"/>
      <c r="N80" s="24"/>
      <c r="O80" s="24"/>
      <c r="P80" s="24"/>
      <c r="Q80" s="24"/>
    </row>
    <row r="81" spans="1:17" ht="12.75">
      <c r="A81" s="5"/>
      <c r="B81" s="7" t="s">
        <v>0</v>
      </c>
      <c r="C81" s="5"/>
      <c r="D81" s="5"/>
      <c r="E81" s="5"/>
      <c r="F81" s="5"/>
      <c r="G81" s="5"/>
      <c r="H81" s="140" t="s">
        <v>90</v>
      </c>
      <c r="I81" s="146"/>
      <c r="J81" s="153">
        <f>K69*K75-L75</f>
        <v>2920.990319859089</v>
      </c>
      <c r="K81" s="152"/>
      <c r="L81" s="25"/>
      <c r="M81" s="24"/>
      <c r="N81" s="24"/>
      <c r="O81" s="24"/>
      <c r="P81" s="24"/>
      <c r="Q81" s="24"/>
    </row>
    <row r="82" spans="1:17" ht="12.75">
      <c r="A82" s="5"/>
      <c r="B82" s="7" t="s">
        <v>0</v>
      </c>
      <c r="C82" s="5"/>
      <c r="D82" s="5"/>
      <c r="E82" s="5"/>
      <c r="F82" s="5"/>
      <c r="G82" s="5"/>
      <c r="H82" s="154"/>
      <c r="I82" s="154"/>
      <c r="J82" s="228" t="s">
        <v>170</v>
      </c>
      <c r="K82" s="229" t="s">
        <v>171</v>
      </c>
      <c r="L82" s="25"/>
      <c r="M82" s="24"/>
      <c r="N82" s="24"/>
      <c r="O82" s="24"/>
      <c r="P82" s="24"/>
      <c r="Q82" s="24"/>
    </row>
    <row r="83" spans="1:17" ht="12.75">
      <c r="A83" s="5"/>
      <c r="B83" s="7" t="s">
        <v>0</v>
      </c>
      <c r="C83" s="5"/>
      <c r="D83" s="5"/>
      <c r="E83" s="5"/>
      <c r="F83" s="5"/>
      <c r="G83" s="5"/>
      <c r="H83" s="201" t="s">
        <v>169</v>
      </c>
      <c r="I83" s="202"/>
      <c r="J83" s="163">
        <f>IF(L69&lt;7500,0,IF(K69&gt;J74,J81,IF(K69&gt;J73,J80,IF(K69&gt;J72,J79,IF(K69&gt;J71,J78,J77)))))</f>
        <v>5522.714852004545</v>
      </c>
      <c r="K83" s="163">
        <f>IF(J83-J88&lt;0,0,J83-J88)</f>
        <v>4567.914852004545</v>
      </c>
      <c r="L83" s="25"/>
      <c r="M83" s="24"/>
      <c r="N83" s="24"/>
      <c r="O83" s="24"/>
      <c r="P83" s="24"/>
      <c r="Q83" s="24"/>
    </row>
    <row r="84" spans="1:17" ht="12.75">
      <c r="A84" s="5"/>
      <c r="B84" s="7" t="s">
        <v>0</v>
      </c>
      <c r="C84" s="5"/>
      <c r="D84" s="5"/>
      <c r="E84" s="5"/>
      <c r="F84" s="5"/>
      <c r="G84" s="5"/>
      <c r="H84" s="201" t="s">
        <v>168</v>
      </c>
      <c r="I84" s="202"/>
      <c r="J84" s="163">
        <f>ROUND(J83/12,2)</f>
        <v>460.23</v>
      </c>
      <c r="K84" s="163">
        <f>J84-K88</f>
        <v>380.66333333333336</v>
      </c>
      <c r="L84" s="25"/>
      <c r="M84" s="24"/>
      <c r="N84" s="24"/>
      <c r="O84" s="24"/>
      <c r="P84" s="24"/>
      <c r="Q84" s="24"/>
    </row>
    <row r="85" spans="1:17" ht="12.75">
      <c r="A85" s="5"/>
      <c r="B85" s="7" t="s">
        <v>0</v>
      </c>
      <c r="C85" s="5"/>
      <c r="D85" s="5"/>
      <c r="E85" s="5"/>
      <c r="F85" s="5"/>
      <c r="G85" s="5"/>
      <c r="H85" s="24"/>
      <c r="I85" s="24"/>
      <c r="J85" s="138" t="s">
        <v>140</v>
      </c>
      <c r="K85" s="138" t="s">
        <v>71</v>
      </c>
      <c r="L85" s="25"/>
      <c r="M85" s="24"/>
      <c r="N85" s="24"/>
      <c r="O85" s="24"/>
      <c r="P85" s="24"/>
      <c r="Q85" s="24"/>
    </row>
    <row r="86" spans="1:17" ht="12.75">
      <c r="A86" s="5"/>
      <c r="B86" s="7" t="s">
        <v>0</v>
      </c>
      <c r="C86" s="5"/>
      <c r="D86" s="5"/>
      <c r="E86" s="5"/>
      <c r="F86" s="5"/>
      <c r="G86" s="5"/>
      <c r="H86" s="195" t="s">
        <v>135</v>
      </c>
      <c r="I86" s="196"/>
      <c r="J86" s="197">
        <f>ROUND(J95,2)</f>
        <v>954.8</v>
      </c>
      <c r="K86" s="197">
        <f>J86/12</f>
        <v>79.56666666666666</v>
      </c>
      <c r="L86" s="24"/>
      <c r="M86" s="24"/>
      <c r="N86" s="24"/>
      <c r="O86" s="24"/>
      <c r="P86" s="24"/>
      <c r="Q86" s="24"/>
    </row>
    <row r="87" spans="1:17" ht="12.75">
      <c r="A87" s="5"/>
      <c r="B87" s="7" t="s">
        <v>0</v>
      </c>
      <c r="C87" s="5"/>
      <c r="D87" s="5"/>
      <c r="E87" s="5"/>
      <c r="F87" s="5"/>
      <c r="G87" s="5"/>
      <c r="H87" s="195" t="s">
        <v>134</v>
      </c>
      <c r="I87" s="196"/>
      <c r="J87" s="197">
        <f>J103+J104+J105</f>
        <v>0</v>
      </c>
      <c r="K87" s="197">
        <f>J87/12</f>
        <v>0</v>
      </c>
      <c r="L87" s="24"/>
      <c r="M87" s="24"/>
      <c r="N87" s="24"/>
      <c r="O87" s="24"/>
      <c r="P87" s="24"/>
      <c r="Q87" s="24"/>
    </row>
    <row r="88" spans="1:17" ht="12.75">
      <c r="A88" s="5"/>
      <c r="B88" s="7" t="s">
        <v>0</v>
      </c>
      <c r="C88" s="5"/>
      <c r="D88" s="5"/>
      <c r="E88" s="5"/>
      <c r="F88" s="5"/>
      <c r="G88" s="5"/>
      <c r="H88" s="198" t="s">
        <v>139</v>
      </c>
      <c r="I88" s="199"/>
      <c r="J88" s="200">
        <f>J86+J87</f>
        <v>954.8</v>
      </c>
      <c r="K88" s="200">
        <f>J88/12</f>
        <v>79.56666666666666</v>
      </c>
      <c r="L88" s="24"/>
      <c r="M88" s="24"/>
      <c r="N88" s="24"/>
      <c r="O88" s="24"/>
      <c r="P88" s="24"/>
      <c r="Q88" s="24"/>
    </row>
    <row r="89" spans="1:17" ht="12.75">
      <c r="A89" s="5"/>
      <c r="B89" s="7" t="s">
        <v>0</v>
      </c>
      <c r="C89" s="5"/>
      <c r="D89" s="5"/>
      <c r="E89" s="5"/>
      <c r="F89" s="5"/>
      <c r="G89" s="5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 ht="12.75">
      <c r="A90" s="5"/>
      <c r="B90" s="7" t="s">
        <v>0</v>
      </c>
      <c r="C90" s="5"/>
      <c r="D90" s="5"/>
      <c r="E90" s="5"/>
      <c r="F90" s="5"/>
      <c r="G90" s="5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ht="12.75">
      <c r="A91" s="5"/>
      <c r="B91" s="7"/>
      <c r="C91" s="5"/>
      <c r="D91" s="5"/>
      <c r="E91" s="5"/>
      <c r="F91" s="5"/>
      <c r="G91" s="5"/>
      <c r="H91" s="140" t="s">
        <v>91</v>
      </c>
      <c r="I91" s="141"/>
      <c r="J91" s="156"/>
      <c r="K91" s="144"/>
      <c r="L91" s="162"/>
      <c r="M91" s="24"/>
      <c r="N91" s="24"/>
      <c r="O91" s="24"/>
      <c r="P91" s="24"/>
      <c r="Q91" s="24"/>
    </row>
    <row r="92" spans="1:17" ht="12.75">
      <c r="A92" s="5"/>
      <c r="B92" s="7"/>
      <c r="C92" s="5"/>
      <c r="D92" s="5"/>
      <c r="E92" s="5"/>
      <c r="F92" s="5"/>
      <c r="G92" s="5"/>
      <c r="H92" s="134" t="s">
        <v>92</v>
      </c>
      <c r="I92" s="123"/>
      <c r="J92" s="148">
        <v>1725</v>
      </c>
      <c r="K92" s="148">
        <v>0</v>
      </c>
      <c r="L92" s="157">
        <f>J92+K92</f>
        <v>1725</v>
      </c>
      <c r="M92" s="24"/>
      <c r="N92" s="24"/>
      <c r="O92" s="24"/>
      <c r="P92" s="24"/>
      <c r="Q92" s="24"/>
    </row>
    <row r="93" spans="1:17" ht="12.75">
      <c r="A93" s="5"/>
      <c r="B93" s="7" t="s">
        <v>0</v>
      </c>
      <c r="C93" s="5"/>
      <c r="D93" s="5"/>
      <c r="E93" s="5"/>
      <c r="F93" s="5"/>
      <c r="G93" s="5"/>
      <c r="H93" s="124" t="s">
        <v>93</v>
      </c>
      <c r="I93" s="125"/>
      <c r="J93" s="148">
        <v>1255</v>
      </c>
      <c r="K93" s="148">
        <f>470*(15000-L69)/7500</f>
        <v>-599.4974333597008</v>
      </c>
      <c r="L93" s="157">
        <f>J93+K93</f>
        <v>655.5025666402992</v>
      </c>
      <c r="M93" s="24"/>
      <c r="N93" s="24"/>
      <c r="O93" s="24"/>
      <c r="P93" s="24"/>
      <c r="Q93" s="24"/>
    </row>
    <row r="94" spans="1:17" ht="12.75">
      <c r="A94" s="5"/>
      <c r="B94" s="7" t="s">
        <v>0</v>
      </c>
      <c r="C94" s="5"/>
      <c r="D94" s="5"/>
      <c r="E94" s="5"/>
      <c r="F94" s="5"/>
      <c r="G94" s="5"/>
      <c r="H94" s="158" t="s">
        <v>94</v>
      </c>
      <c r="I94" s="127"/>
      <c r="J94" s="148">
        <v>1255</v>
      </c>
      <c r="K94" s="159">
        <f>ROUND((55000-L69)/40000,4)</f>
        <v>0.7608</v>
      </c>
      <c r="L94" s="157">
        <f>IF(K94&gt;1,J94,J94*K94)</f>
        <v>954.8040000000001</v>
      </c>
      <c r="M94" s="24"/>
      <c r="N94" s="24"/>
      <c r="O94" s="24"/>
      <c r="P94" s="24"/>
      <c r="Q94" s="24"/>
    </row>
    <row r="95" spans="1:17" ht="12.75">
      <c r="A95" s="5"/>
      <c r="B95" s="7" t="s">
        <v>0</v>
      </c>
      <c r="C95" s="5"/>
      <c r="D95" s="5"/>
      <c r="E95" s="5"/>
      <c r="F95" s="5"/>
      <c r="G95" s="5"/>
      <c r="H95" s="143" t="s">
        <v>95</v>
      </c>
      <c r="I95" s="160"/>
      <c r="J95" s="161">
        <f>IF(L69&gt;J73,0,IF(L69&gt;J71,L94,IF(L69&gt;7500,L93,L92)))</f>
        <v>954.8040000000001</v>
      </c>
      <c r="K95" s="24"/>
      <c r="L95" s="25"/>
      <c r="M95" s="24"/>
      <c r="N95" s="24"/>
      <c r="O95" s="24"/>
      <c r="P95" s="24"/>
      <c r="Q95" s="24"/>
    </row>
    <row r="96" spans="1:17" ht="12.75">
      <c r="A96" s="5"/>
      <c r="B96" s="7" t="s">
        <v>0</v>
      </c>
      <c r="C96" s="5"/>
      <c r="D96" s="5"/>
      <c r="E96" s="5"/>
      <c r="F96" s="5"/>
      <c r="G96" s="5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ht="12.75">
      <c r="A97" s="5"/>
      <c r="B97" s="7" t="s">
        <v>0</v>
      </c>
      <c r="C97" s="5"/>
      <c r="D97" s="5"/>
      <c r="E97" s="5"/>
      <c r="F97" s="5"/>
      <c r="G97" s="5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ht="12.75">
      <c r="A98" s="5"/>
      <c r="B98" s="7" t="s">
        <v>0</v>
      </c>
      <c r="C98" s="5"/>
      <c r="D98" s="5"/>
      <c r="E98" s="5"/>
      <c r="F98" s="5"/>
      <c r="G98" s="5"/>
      <c r="H98" s="14"/>
      <c r="I98" s="14"/>
      <c r="J98" s="14"/>
      <c r="K98" s="14"/>
      <c r="L98" s="117"/>
      <c r="M98" s="14"/>
      <c r="N98" s="14"/>
      <c r="O98" s="14"/>
      <c r="P98" s="14"/>
      <c r="Q98" s="14"/>
    </row>
    <row r="99" spans="1:17" ht="12.75">
      <c r="A99" s="5"/>
      <c r="B99" s="7" t="s">
        <v>0</v>
      </c>
      <c r="C99" s="5"/>
      <c r="D99" s="5"/>
      <c r="E99" s="5"/>
      <c r="F99" s="5"/>
      <c r="G99" s="5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ht="12.75">
      <c r="A100" s="5"/>
      <c r="B100" s="7"/>
      <c r="C100" s="5"/>
      <c r="D100" s="5"/>
      <c r="E100" s="5"/>
      <c r="F100" s="5"/>
      <c r="G100" s="5"/>
      <c r="H100" s="164" t="s">
        <v>96</v>
      </c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ht="12.75">
      <c r="A101" s="5"/>
      <c r="B101" s="7"/>
      <c r="C101" s="5"/>
      <c r="D101" s="5"/>
      <c r="E101" s="5"/>
      <c r="F101" s="5"/>
      <c r="G101" s="5"/>
      <c r="H101" s="140" t="s">
        <v>136</v>
      </c>
      <c r="I101" s="146"/>
      <c r="J101" s="128">
        <f>A24</f>
        <v>2</v>
      </c>
      <c r="K101" s="24"/>
      <c r="L101" s="25"/>
      <c r="M101" s="24"/>
      <c r="N101" s="24"/>
      <c r="O101" s="24"/>
      <c r="P101" s="24"/>
      <c r="Q101" s="24"/>
    </row>
    <row r="102" spans="1:17" ht="12.75">
      <c r="A102" s="5"/>
      <c r="B102" s="7"/>
      <c r="C102" s="5"/>
      <c r="D102" s="5"/>
      <c r="E102" s="5"/>
      <c r="F102" s="5"/>
      <c r="G102" s="5"/>
      <c r="H102" s="140" t="s">
        <v>111</v>
      </c>
      <c r="I102" s="146"/>
      <c r="J102" s="178">
        <f>C26</f>
        <v>0.5</v>
      </c>
      <c r="K102" s="24"/>
      <c r="L102" s="25"/>
      <c r="M102" s="24"/>
      <c r="N102" s="24"/>
      <c r="O102" s="24"/>
      <c r="P102" s="24"/>
      <c r="Q102" s="24"/>
    </row>
    <row r="103" spans="1:17" ht="12.75">
      <c r="A103" s="5"/>
      <c r="B103" s="7" t="s">
        <v>0</v>
      </c>
      <c r="C103" s="5"/>
      <c r="D103" s="5"/>
      <c r="E103" s="5"/>
      <c r="F103" s="5"/>
      <c r="G103" s="5"/>
      <c r="H103" s="155" t="s">
        <v>112</v>
      </c>
      <c r="I103" s="179"/>
      <c r="J103" s="180">
        <f>J112</f>
        <v>0</v>
      </c>
      <c r="K103" s="180">
        <f>ROUND(J103/12,2)</f>
        <v>0</v>
      </c>
      <c r="L103" s="25"/>
      <c r="M103" s="24"/>
      <c r="N103" s="24"/>
      <c r="O103" s="24"/>
      <c r="P103" s="24"/>
      <c r="Q103" s="24"/>
    </row>
    <row r="104" spans="1:17" ht="12.75">
      <c r="A104" s="5"/>
      <c r="B104" s="7" t="s">
        <v>0</v>
      </c>
      <c r="C104" s="5"/>
      <c r="D104" s="5"/>
      <c r="E104" s="5"/>
      <c r="F104" s="5"/>
      <c r="G104" s="5"/>
      <c r="H104" s="155" t="s">
        <v>113</v>
      </c>
      <c r="I104" s="179"/>
      <c r="J104" s="180">
        <f>(J125+J149+J155)*J102</f>
        <v>0</v>
      </c>
      <c r="K104" s="180">
        <f>ROUND(J104/12,2)</f>
        <v>0</v>
      </c>
      <c r="L104" s="25"/>
      <c r="M104" s="24"/>
      <c r="N104" s="24"/>
      <c r="O104" s="24"/>
      <c r="P104" s="24"/>
      <c r="Q104" s="24"/>
    </row>
    <row r="105" spans="1:17" ht="12.75">
      <c r="A105" s="5"/>
      <c r="B105" s="7" t="s">
        <v>0</v>
      </c>
      <c r="C105" s="5"/>
      <c r="D105" s="5"/>
      <c r="E105" s="5"/>
      <c r="F105" s="5"/>
      <c r="G105" s="5"/>
      <c r="H105" s="155" t="s">
        <v>114</v>
      </c>
      <c r="I105" s="179"/>
      <c r="J105" s="180">
        <f>J130*J102</f>
        <v>0</v>
      </c>
      <c r="K105" s="180">
        <f>ROUND(J105/12,2)</f>
        <v>0</v>
      </c>
      <c r="L105" s="25"/>
      <c r="M105" s="24"/>
      <c r="N105" s="24"/>
      <c r="O105" s="24"/>
      <c r="P105" s="24"/>
      <c r="Q105" s="24"/>
    </row>
    <row r="106" spans="1:17" ht="12.75">
      <c r="A106" s="5"/>
      <c r="B106" s="7" t="s">
        <v>0</v>
      </c>
      <c r="C106" s="5"/>
      <c r="D106" s="5"/>
      <c r="E106" s="5"/>
      <c r="F106" s="5"/>
      <c r="G106" s="5"/>
      <c r="H106" s="24"/>
      <c r="I106" s="24"/>
      <c r="J106" s="24"/>
      <c r="K106" s="24"/>
      <c r="L106" s="25"/>
      <c r="M106" s="24"/>
      <c r="N106" s="24"/>
      <c r="O106" s="24"/>
      <c r="P106" s="24"/>
      <c r="Q106" s="24"/>
    </row>
    <row r="107" spans="1:17" ht="12.75">
      <c r="A107" s="5"/>
      <c r="B107" s="7" t="s">
        <v>0</v>
      </c>
      <c r="C107" s="5"/>
      <c r="D107" s="5"/>
      <c r="E107" s="5"/>
      <c r="F107" s="5"/>
      <c r="G107" s="5"/>
      <c r="H107" s="164" t="s">
        <v>164</v>
      </c>
      <c r="I107" s="24"/>
      <c r="J107" s="24"/>
      <c r="K107" s="24"/>
      <c r="L107" s="25"/>
      <c r="M107" s="24"/>
      <c r="N107" s="24" t="s">
        <v>115</v>
      </c>
      <c r="O107" s="24"/>
      <c r="P107" s="24"/>
      <c r="Q107" s="24"/>
    </row>
    <row r="108" spans="1:17" ht="12.75">
      <c r="A108" s="5"/>
      <c r="B108" s="7" t="s">
        <v>0</v>
      </c>
      <c r="C108" s="5"/>
      <c r="D108" s="5"/>
      <c r="E108" s="5"/>
      <c r="F108" s="5"/>
      <c r="G108" s="5"/>
      <c r="H108" s="140" t="s">
        <v>116</v>
      </c>
      <c r="I108" s="141"/>
      <c r="J108" s="156"/>
      <c r="K108" s="144"/>
      <c r="L108" s="149">
        <f>B31</f>
        <v>0</v>
      </c>
      <c r="M108" s="24"/>
      <c r="N108" s="128">
        <f>IF(L69&gt;35200,0,IF(L69&gt;35100,10,IF(L69&gt;35000,20,IF(L69&gt;34700,30,IF(L69&gt;29200,20,IF(L69&gt;29000,10,0))))))</f>
        <v>0</v>
      </c>
      <c r="O108" s="24"/>
      <c r="P108" s="24"/>
      <c r="Q108" s="24"/>
    </row>
    <row r="109" spans="1:17" ht="12.75">
      <c r="A109" s="5"/>
      <c r="B109" s="7" t="s">
        <v>0</v>
      </c>
      <c r="C109" s="5"/>
      <c r="D109" s="5"/>
      <c r="E109" s="5"/>
      <c r="F109" s="5"/>
      <c r="G109" s="5"/>
      <c r="H109" s="134" t="s">
        <v>93</v>
      </c>
      <c r="I109" s="123"/>
      <c r="J109" s="148">
        <v>800</v>
      </c>
      <c r="K109" s="148">
        <f>110*L69/15000</f>
        <v>180.15395496762457</v>
      </c>
      <c r="L109" s="157">
        <f>J109-K109</f>
        <v>619.8460450323754</v>
      </c>
      <c r="M109" s="24"/>
      <c r="N109" s="24"/>
      <c r="O109" s="24"/>
      <c r="P109" s="24"/>
      <c r="Q109" s="24"/>
    </row>
    <row r="110" spans="1:17" ht="12.75">
      <c r="A110" s="5"/>
      <c r="B110" s="7" t="s">
        <v>0</v>
      </c>
      <c r="C110" s="5"/>
      <c r="D110" s="5"/>
      <c r="E110" s="5"/>
      <c r="F110" s="5"/>
      <c r="G110" s="5"/>
      <c r="H110" s="124" t="s">
        <v>117</v>
      </c>
      <c r="I110" s="125"/>
      <c r="J110" s="148">
        <v>690</v>
      </c>
      <c r="K110" s="148">
        <v>0</v>
      </c>
      <c r="L110" s="157">
        <f>J110+N108</f>
        <v>690</v>
      </c>
      <c r="M110" s="24"/>
      <c r="N110" s="24"/>
      <c r="O110" s="24"/>
      <c r="P110" s="24"/>
      <c r="Q110" s="24"/>
    </row>
    <row r="111" spans="1:17" ht="12.75">
      <c r="A111" s="5"/>
      <c r="B111" s="7" t="s">
        <v>0</v>
      </c>
      <c r="C111" s="5"/>
      <c r="D111" s="5"/>
      <c r="E111" s="5"/>
      <c r="F111" s="5"/>
      <c r="G111" s="5"/>
      <c r="H111" s="158" t="s">
        <v>118</v>
      </c>
      <c r="I111" s="127"/>
      <c r="J111" s="181">
        <f>690</f>
        <v>690</v>
      </c>
      <c r="K111" s="159">
        <f>ROUND((80000-L69)/40000,4)</f>
        <v>1.3858</v>
      </c>
      <c r="L111" s="157">
        <f>IF(K111&gt;1,J111,J111*K111)</f>
        <v>690</v>
      </c>
      <c r="M111" s="24"/>
      <c r="N111" s="24"/>
      <c r="O111" s="24"/>
      <c r="P111" s="24"/>
      <c r="Q111" s="24"/>
    </row>
    <row r="112" spans="1:17" ht="12.75">
      <c r="A112" s="5"/>
      <c r="B112" s="7" t="s">
        <v>0</v>
      </c>
      <c r="C112" s="5"/>
      <c r="D112" s="5"/>
      <c r="E112" s="5"/>
      <c r="F112" s="5"/>
      <c r="G112" s="5"/>
      <c r="H112" s="143" t="s">
        <v>95</v>
      </c>
      <c r="I112" s="160"/>
      <c r="J112" s="161">
        <f>K112*L108</f>
        <v>0</v>
      </c>
      <c r="K112" s="182">
        <f>IF(L69&gt;80000,0,IF(L69&gt;40000,L111,IF(L69&gt;15000,L110,L109)))</f>
        <v>690</v>
      </c>
      <c r="L112" s="161">
        <f>J112/12</f>
        <v>0</v>
      </c>
      <c r="M112" s="183"/>
      <c r="N112" s="24"/>
      <c r="O112" s="24"/>
      <c r="P112" s="24"/>
      <c r="Q112" s="24"/>
    </row>
    <row r="113" spans="1:17" ht="12.75">
      <c r="A113" s="5"/>
      <c r="B113" s="7" t="s">
        <v>0</v>
      </c>
      <c r="C113" s="5"/>
      <c r="D113" s="5"/>
      <c r="E113" s="5"/>
      <c r="F113" s="5"/>
      <c r="G113" s="5"/>
      <c r="H113" s="24"/>
      <c r="I113" s="24"/>
      <c r="J113" s="24"/>
      <c r="K113" s="24"/>
      <c r="L113" s="25"/>
      <c r="M113" s="184"/>
      <c r="N113" s="185"/>
      <c r="O113" s="24"/>
      <c r="P113" s="24"/>
      <c r="Q113" s="24"/>
    </row>
    <row r="114" spans="1:17" ht="12.75">
      <c r="A114" s="5"/>
      <c r="B114" s="7" t="s">
        <v>0</v>
      </c>
      <c r="C114" s="5"/>
      <c r="D114" s="5"/>
      <c r="E114" s="5"/>
      <c r="F114" s="5"/>
      <c r="G114" s="5"/>
      <c r="H114" s="24"/>
      <c r="I114" s="24"/>
      <c r="J114" s="25"/>
      <c r="K114" s="24"/>
      <c r="L114" s="25"/>
      <c r="M114" s="184"/>
      <c r="N114" s="184"/>
      <c r="O114" s="24"/>
      <c r="P114" s="24"/>
      <c r="Q114" s="24"/>
    </row>
    <row r="115" spans="1:17" ht="12.75">
      <c r="A115" s="5"/>
      <c r="B115" s="7" t="s">
        <v>0</v>
      </c>
      <c r="C115" s="5"/>
      <c r="D115" s="5"/>
      <c r="E115" s="5"/>
      <c r="F115" s="5"/>
      <c r="G115" s="5"/>
      <c r="H115" s="140" t="s">
        <v>103</v>
      </c>
      <c r="I115" s="146"/>
      <c r="J115" s="186">
        <f>IF(J101=2,C33,0)</f>
        <v>0</v>
      </c>
      <c r="K115" s="24"/>
      <c r="L115" s="25"/>
      <c r="M115" s="184"/>
      <c r="N115" s="184"/>
      <c r="O115" s="24"/>
      <c r="P115" s="24"/>
      <c r="Q115" s="24"/>
    </row>
    <row r="116" spans="1:17" ht="12.75">
      <c r="A116" s="5"/>
      <c r="B116" s="7" t="s">
        <v>0</v>
      </c>
      <c r="C116" s="5"/>
      <c r="D116" s="5"/>
      <c r="E116" s="5"/>
      <c r="F116" s="5"/>
      <c r="G116" s="5"/>
      <c r="H116" s="140" t="s">
        <v>119</v>
      </c>
      <c r="I116" s="146"/>
      <c r="J116" s="186">
        <f>IF(J101=2,C34,0)</f>
        <v>0</v>
      </c>
      <c r="K116" s="24"/>
      <c r="L116" s="184"/>
      <c r="M116" s="184"/>
      <c r="N116" s="184"/>
      <c r="O116" s="24"/>
      <c r="P116" s="24"/>
      <c r="Q116" s="24"/>
    </row>
    <row r="117" spans="1:17" ht="12.75">
      <c r="A117" s="5"/>
      <c r="B117" s="7"/>
      <c r="C117" s="5"/>
      <c r="D117" s="5"/>
      <c r="E117" s="5"/>
      <c r="F117" s="5"/>
      <c r="G117" s="5"/>
      <c r="H117" s="140" t="s">
        <v>120</v>
      </c>
      <c r="I117" s="146"/>
      <c r="J117" s="186">
        <f>IF(J101=2,C35,0)</f>
        <v>0</v>
      </c>
      <c r="K117" s="24"/>
      <c r="L117" s="187"/>
      <c r="M117" s="24"/>
      <c r="N117" s="24"/>
      <c r="O117" s="24"/>
      <c r="P117" s="24"/>
      <c r="Q117" s="24"/>
    </row>
    <row r="118" spans="1:17" ht="12.75">
      <c r="A118" s="5"/>
      <c r="B118" s="7" t="s">
        <v>0</v>
      </c>
      <c r="C118" s="5"/>
      <c r="D118" s="5"/>
      <c r="E118" s="5"/>
      <c r="F118" s="5"/>
      <c r="G118" s="5"/>
      <c r="H118" s="140" t="s">
        <v>121</v>
      </c>
      <c r="I118" s="146"/>
      <c r="J118" s="186">
        <f>IF(J101=2,C37,0)</f>
        <v>0</v>
      </c>
      <c r="K118" s="184"/>
      <c r="L118" s="184"/>
      <c r="M118" s="24"/>
      <c r="N118" s="24"/>
      <c r="O118" s="24"/>
      <c r="P118" s="24"/>
      <c r="Q118" s="24"/>
    </row>
    <row r="119" spans="1:17" ht="12.75">
      <c r="A119" s="5"/>
      <c r="B119" s="7" t="s">
        <v>0</v>
      </c>
      <c r="C119" s="5"/>
      <c r="D119" s="5"/>
      <c r="E119" s="5"/>
      <c r="F119" s="5"/>
      <c r="G119" s="5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ht="12.75">
      <c r="A120" s="5"/>
      <c r="B120" s="7" t="s">
        <v>0</v>
      </c>
      <c r="C120" s="5"/>
      <c r="D120" s="5"/>
      <c r="E120" s="5"/>
      <c r="F120" s="5"/>
      <c r="G120" s="5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ht="12.75">
      <c r="A121" s="5"/>
      <c r="B121" s="7" t="s">
        <v>0</v>
      </c>
      <c r="C121" s="5"/>
      <c r="D121" s="5"/>
      <c r="E121" s="5"/>
      <c r="F121" s="5"/>
      <c r="G121" s="5"/>
      <c r="H121" s="140" t="s">
        <v>113</v>
      </c>
      <c r="I121" s="141"/>
      <c r="J121" s="156"/>
      <c r="K121" s="193"/>
      <c r="L121" s="149">
        <f>IF(J101=2,1,0)</f>
        <v>1</v>
      </c>
      <c r="M121" s="24"/>
      <c r="N121" s="24"/>
      <c r="O121" s="24"/>
      <c r="P121" s="24"/>
      <c r="Q121" s="24"/>
    </row>
    <row r="122" spans="1:17" ht="12.75">
      <c r="A122" s="5"/>
      <c r="B122" s="7"/>
      <c r="C122" s="5"/>
      <c r="D122" s="5"/>
      <c r="E122" s="5"/>
      <c r="F122" s="5"/>
      <c r="G122" s="5"/>
      <c r="H122" s="134" t="s">
        <v>122</v>
      </c>
      <c r="I122" s="123"/>
      <c r="J122" s="148">
        <v>95000</v>
      </c>
      <c r="K122" s="148">
        <f>IF(J115&gt;1,(J115-1)*15000,0)</f>
        <v>0</v>
      </c>
      <c r="L122" s="157">
        <f>J122+K122</f>
        <v>95000</v>
      </c>
      <c r="M122" s="24"/>
      <c r="N122" s="24"/>
      <c r="O122" s="24"/>
      <c r="P122" s="24"/>
      <c r="Q122" s="24"/>
    </row>
    <row r="123" spans="1:17" ht="12.75">
      <c r="A123" s="5"/>
      <c r="B123" s="7"/>
      <c r="C123" s="5"/>
      <c r="D123" s="5"/>
      <c r="E123" s="5"/>
      <c r="F123" s="5"/>
      <c r="G123" s="5"/>
      <c r="H123" s="124" t="s">
        <v>123</v>
      </c>
      <c r="I123" s="125"/>
      <c r="J123" s="148">
        <f>IF(J116=0,0,100*J116)</f>
        <v>0</v>
      </c>
      <c r="K123" s="148">
        <f>220*J117</f>
        <v>0</v>
      </c>
      <c r="L123" s="157">
        <f>IF(J115&gt;3,J115*200,0)</f>
        <v>0</v>
      </c>
      <c r="M123" s="24"/>
      <c r="N123" s="24"/>
      <c r="O123" s="24"/>
      <c r="P123" s="24"/>
      <c r="Q123" s="24"/>
    </row>
    <row r="124" spans="1:17" ht="12.75">
      <c r="A124" s="5"/>
      <c r="B124" s="7"/>
      <c r="C124" s="5"/>
      <c r="D124" s="5"/>
      <c r="E124" s="5"/>
      <c r="F124" s="5"/>
      <c r="G124" s="5"/>
      <c r="H124" s="158" t="s">
        <v>124</v>
      </c>
      <c r="I124" s="127"/>
      <c r="J124" s="148">
        <f>800*J115+J123+K123+L123</f>
        <v>0</v>
      </c>
      <c r="K124" s="159">
        <f>ROUND((L122-L69)/L122,4)</f>
        <v>0.7414</v>
      </c>
      <c r="L124" s="157">
        <f>IF(K124&gt;1,J124,J124*K124)</f>
        <v>0</v>
      </c>
      <c r="M124" s="24"/>
      <c r="N124" s="24"/>
      <c r="O124" s="24"/>
      <c r="P124" s="24"/>
      <c r="Q124" s="24"/>
    </row>
    <row r="125" spans="1:17" ht="12.75">
      <c r="A125" s="5"/>
      <c r="B125" s="7"/>
      <c r="C125" s="5"/>
      <c r="D125" s="5"/>
      <c r="E125" s="5"/>
      <c r="F125" s="5"/>
      <c r="G125" s="5"/>
      <c r="H125" s="143" t="s">
        <v>95</v>
      </c>
      <c r="I125" s="160"/>
      <c r="J125" s="161">
        <f>K125*L121</f>
        <v>0</v>
      </c>
      <c r="K125" s="182">
        <f>IF(L69&gt;L122,0,L124)</f>
        <v>0</v>
      </c>
      <c r="L125" s="161">
        <f>J125/12</f>
        <v>0</v>
      </c>
      <c r="M125" s="24"/>
      <c r="N125" s="24"/>
      <c r="O125" s="24"/>
      <c r="P125" s="24"/>
      <c r="Q125" s="24"/>
    </row>
    <row r="126" spans="1:17" ht="12.75">
      <c r="A126" s="5"/>
      <c r="B126" s="7"/>
      <c r="C126" s="5"/>
      <c r="D126" s="5"/>
      <c r="E126" s="5"/>
      <c r="F126" s="5"/>
      <c r="G126" s="5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ht="12.75">
      <c r="A127" s="5"/>
      <c r="B127" s="7"/>
      <c r="C127" s="5"/>
      <c r="D127" s="5"/>
      <c r="E127" s="5"/>
      <c r="F127" s="5"/>
      <c r="G127" s="5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ht="12.75">
      <c r="A128" s="5"/>
      <c r="B128" s="7"/>
      <c r="C128" s="5"/>
      <c r="D128" s="5"/>
      <c r="E128" s="5"/>
      <c r="F128" s="5"/>
      <c r="G128" s="5"/>
      <c r="H128" s="140" t="s">
        <v>125</v>
      </c>
      <c r="I128" s="141"/>
      <c r="J128" s="156"/>
      <c r="K128" s="144"/>
      <c r="L128" s="145"/>
      <c r="M128" s="24"/>
      <c r="N128" s="24"/>
      <c r="O128" s="24"/>
      <c r="P128" s="24"/>
      <c r="Q128" s="24"/>
    </row>
    <row r="129" spans="1:17" ht="12.75">
      <c r="A129" s="5"/>
      <c r="B129" s="7"/>
      <c r="C129" s="5"/>
      <c r="D129" s="5"/>
      <c r="E129" s="5"/>
      <c r="F129" s="5"/>
      <c r="G129" s="5"/>
      <c r="H129" s="124" t="s">
        <v>118</v>
      </c>
      <c r="I129" s="125"/>
      <c r="J129" s="148">
        <v>750</v>
      </c>
      <c r="K129" s="159">
        <f>ROUND((80000-L69)/80000,4)</f>
        <v>0.6929</v>
      </c>
      <c r="L129" s="157">
        <f>IF(K129&gt;1,J129,J129*K129)</f>
        <v>519.675</v>
      </c>
      <c r="M129" s="24"/>
      <c r="N129" s="24"/>
      <c r="O129" s="24"/>
      <c r="P129" s="24"/>
      <c r="Q129" s="24"/>
    </row>
    <row r="130" spans="1:17" ht="12.75">
      <c r="A130" s="5"/>
      <c r="B130" s="7"/>
      <c r="C130" s="5"/>
      <c r="D130" s="5"/>
      <c r="E130" s="5"/>
      <c r="F130" s="5"/>
      <c r="G130" s="5"/>
      <c r="H130" s="143" t="s">
        <v>95</v>
      </c>
      <c r="I130" s="160"/>
      <c r="J130" s="161">
        <f>K130*(J118+J141)</f>
        <v>0</v>
      </c>
      <c r="K130" s="182">
        <f>L129*(J118+J141)</f>
        <v>0</v>
      </c>
      <c r="L130" s="161">
        <f>J130/12</f>
        <v>0</v>
      </c>
      <c r="M130" s="24"/>
      <c r="N130" s="24"/>
      <c r="O130" s="24"/>
      <c r="P130" s="24"/>
      <c r="Q130" s="24"/>
    </row>
    <row r="131" spans="1:17" ht="12.75">
      <c r="A131" s="5"/>
      <c r="B131" s="7"/>
      <c r="C131" s="5"/>
      <c r="D131" s="5"/>
      <c r="E131" s="5"/>
      <c r="F131" s="5"/>
      <c r="G131" s="5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ht="12.75">
      <c r="A132" s="5"/>
      <c r="B132" s="7"/>
      <c r="C132" s="5"/>
      <c r="D132" s="5"/>
      <c r="E132" s="5"/>
      <c r="F132" s="5"/>
      <c r="G132" s="5"/>
      <c r="H132" s="14"/>
      <c r="I132" s="14"/>
      <c r="J132" s="14"/>
      <c r="K132" s="14"/>
      <c r="L132" s="117"/>
      <c r="M132" s="14"/>
      <c r="N132" s="14"/>
      <c r="O132" s="14"/>
      <c r="P132" s="14"/>
      <c r="Q132" s="14"/>
    </row>
    <row r="133" spans="1:17" ht="12.75">
      <c r="A133" s="5"/>
      <c r="B133" s="7"/>
      <c r="C133" s="5"/>
      <c r="D133" s="5"/>
      <c r="E133" s="5"/>
      <c r="F133" s="5"/>
      <c r="G133" s="5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ht="12.75">
      <c r="A134" s="5"/>
      <c r="B134" s="7"/>
      <c r="C134" s="5"/>
      <c r="D134" s="5"/>
      <c r="E134" s="5"/>
      <c r="F134" s="5"/>
      <c r="G134" s="5"/>
      <c r="H134" s="164" t="s">
        <v>126</v>
      </c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ht="12.75">
      <c r="A135" s="5"/>
      <c r="B135" s="7"/>
      <c r="C135" s="5"/>
      <c r="D135" s="5"/>
      <c r="E135" s="5"/>
      <c r="F135" s="5"/>
      <c r="G135" s="5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ht="12.75">
      <c r="A136" s="5"/>
      <c r="B136" s="7"/>
      <c r="C136" s="5"/>
      <c r="D136" s="5"/>
      <c r="E136" s="5"/>
      <c r="F136" s="5"/>
      <c r="G136" s="5"/>
      <c r="H136" s="140" t="s">
        <v>173</v>
      </c>
      <c r="I136" s="146"/>
      <c r="J136" s="186">
        <f>IF(J101=1,C50,0)</f>
        <v>0</v>
      </c>
      <c r="K136" s="24"/>
      <c r="L136" s="24"/>
      <c r="M136" s="24"/>
      <c r="N136" s="24"/>
      <c r="O136" s="24"/>
      <c r="P136" s="24"/>
      <c r="Q136" s="24"/>
    </row>
    <row r="137" spans="1:17" ht="12.75">
      <c r="A137" s="5"/>
      <c r="B137" s="7"/>
      <c r="C137" s="5"/>
      <c r="D137" s="5"/>
      <c r="E137" s="5"/>
      <c r="F137" s="5"/>
      <c r="G137" s="5"/>
      <c r="H137" s="140" t="s">
        <v>127</v>
      </c>
      <c r="I137" s="146"/>
      <c r="J137" s="186">
        <f>B46</f>
        <v>0</v>
      </c>
      <c r="K137" s="24"/>
      <c r="L137" s="24"/>
      <c r="M137" s="24"/>
      <c r="N137" s="24"/>
      <c r="O137" s="24"/>
      <c r="P137" s="24"/>
      <c r="Q137" s="24"/>
    </row>
    <row r="138" spans="1:17" ht="12.75">
      <c r="A138" s="5"/>
      <c r="B138" s="7"/>
      <c r="C138" s="5"/>
      <c r="D138" s="5"/>
      <c r="E138" s="5"/>
      <c r="F138" s="5"/>
      <c r="G138" s="5"/>
      <c r="H138" s="140" t="s">
        <v>128</v>
      </c>
      <c r="I138" s="146"/>
      <c r="J138" s="186">
        <f>B47</f>
        <v>0</v>
      </c>
      <c r="K138" s="24"/>
      <c r="L138" s="24"/>
      <c r="M138" s="24"/>
      <c r="N138" s="24"/>
      <c r="O138" s="24"/>
      <c r="P138" s="24"/>
      <c r="Q138" s="24"/>
    </row>
    <row r="139" spans="1:17" ht="12.75">
      <c r="A139" s="5"/>
      <c r="B139" s="7"/>
      <c r="C139" s="5"/>
      <c r="D139" s="5"/>
      <c r="E139" s="5"/>
      <c r="F139" s="5"/>
      <c r="G139" s="5"/>
      <c r="H139" s="140" t="s">
        <v>129</v>
      </c>
      <c r="I139" s="146"/>
      <c r="J139" s="186">
        <f>IF(J101=1,C51,0)</f>
        <v>0</v>
      </c>
      <c r="K139" s="24"/>
      <c r="L139" s="24"/>
      <c r="M139" s="24"/>
      <c r="N139" s="24"/>
      <c r="O139" s="24"/>
      <c r="P139" s="24"/>
      <c r="Q139" s="24"/>
    </row>
    <row r="140" spans="1:17" ht="12.75">
      <c r="A140" s="5"/>
      <c r="B140" s="7"/>
      <c r="C140" s="5"/>
      <c r="D140" s="5"/>
      <c r="E140" s="5"/>
      <c r="F140" s="5"/>
      <c r="G140" s="5"/>
      <c r="H140" s="140" t="s">
        <v>130</v>
      </c>
      <c r="I140" s="146"/>
      <c r="J140" s="186">
        <f>IF(J101=1,C52,0)</f>
        <v>0</v>
      </c>
      <c r="K140" s="24"/>
      <c r="L140" s="24"/>
      <c r="M140" s="24"/>
      <c r="N140" s="24"/>
      <c r="O140" s="24"/>
      <c r="P140" s="24"/>
      <c r="Q140" s="24"/>
    </row>
    <row r="141" spans="1:17" ht="12.75">
      <c r="A141" s="5"/>
      <c r="B141" s="7"/>
      <c r="C141" s="5"/>
      <c r="D141" s="5"/>
      <c r="E141" s="5"/>
      <c r="F141" s="5"/>
      <c r="G141" s="5"/>
      <c r="H141" s="140" t="s">
        <v>106</v>
      </c>
      <c r="I141" s="146"/>
      <c r="J141" s="186">
        <f>IF(J101=1,C54,0)</f>
        <v>0</v>
      </c>
      <c r="K141" s="24"/>
      <c r="L141" s="24"/>
      <c r="M141" s="24"/>
      <c r="N141" s="24"/>
      <c r="O141" s="24"/>
      <c r="P141" s="24"/>
      <c r="Q141" s="24"/>
    </row>
    <row r="142" spans="1:17" ht="12.75">
      <c r="A142" s="5"/>
      <c r="B142" s="7"/>
      <c r="C142" s="5"/>
      <c r="D142" s="5"/>
      <c r="E142" s="5"/>
      <c r="F142" s="5"/>
      <c r="G142" s="5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12.75">
      <c r="A143" s="5"/>
      <c r="B143" s="7"/>
      <c r="C143" s="5"/>
      <c r="D143" s="5"/>
      <c r="E143" s="5"/>
      <c r="F143" s="5"/>
      <c r="G143" s="5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12.75">
      <c r="A144" s="5"/>
      <c r="B144" s="7"/>
      <c r="C144" s="5"/>
      <c r="D144" s="5"/>
      <c r="E144" s="5"/>
      <c r="F144" s="5"/>
      <c r="G144" s="5"/>
      <c r="H144" s="140" t="s">
        <v>131</v>
      </c>
      <c r="I144" s="141"/>
      <c r="J144" s="156"/>
      <c r="K144" s="144"/>
      <c r="L144" s="149">
        <f>IF(J136&gt;0,1,0)</f>
        <v>0</v>
      </c>
      <c r="M144" s="24"/>
      <c r="N144" s="24"/>
      <c r="O144" s="24"/>
      <c r="P144" s="24"/>
      <c r="Q144" s="24"/>
    </row>
    <row r="145" spans="1:17" ht="12.75">
      <c r="A145" s="5"/>
      <c r="B145" s="7"/>
      <c r="C145" s="5"/>
      <c r="D145" s="5"/>
      <c r="E145" s="5"/>
      <c r="F145" s="5"/>
      <c r="G145" s="5"/>
      <c r="H145" s="134" t="s">
        <v>122</v>
      </c>
      <c r="I145" s="123"/>
      <c r="J145" s="148">
        <v>95000</v>
      </c>
      <c r="K145" s="148">
        <f>IF(J136&gt;1,(J136-1)*15000,0)</f>
        <v>0</v>
      </c>
      <c r="L145" s="157">
        <f>J145+K145</f>
        <v>95000</v>
      </c>
      <c r="M145" s="24"/>
      <c r="N145" s="24"/>
      <c r="O145" s="24"/>
      <c r="P145" s="24"/>
      <c r="Q145" s="24"/>
    </row>
    <row r="146" spans="1:17" ht="12.75">
      <c r="A146" s="5"/>
      <c r="B146" s="7"/>
      <c r="C146" s="5"/>
      <c r="D146" s="5"/>
      <c r="E146" s="5"/>
      <c r="F146" s="5"/>
      <c r="G146" s="5"/>
      <c r="H146" s="124" t="s">
        <v>123</v>
      </c>
      <c r="I146" s="125"/>
      <c r="J146" s="148">
        <f>IF(J137=0,0,100)</f>
        <v>0</v>
      </c>
      <c r="K146" s="148">
        <f>220*J138</f>
        <v>0</v>
      </c>
      <c r="L146" s="157">
        <f>IF(J136&gt;3,J136*200,0)</f>
        <v>0</v>
      </c>
      <c r="M146" s="24"/>
      <c r="N146" s="24"/>
      <c r="O146" s="24"/>
      <c r="P146" s="24"/>
      <c r="Q146" s="24"/>
    </row>
    <row r="147" spans="1:17" ht="12.75">
      <c r="A147" s="5"/>
      <c r="B147" s="7"/>
      <c r="C147" s="5"/>
      <c r="D147" s="5"/>
      <c r="E147" s="5"/>
      <c r="F147" s="5"/>
      <c r="G147" s="5"/>
      <c r="H147" s="158" t="s">
        <v>124</v>
      </c>
      <c r="I147" s="127"/>
      <c r="J147" s="148">
        <f>800+J146+K146+L146</f>
        <v>800</v>
      </c>
      <c r="K147" s="159">
        <f>ROUND((L145-L69)/L145,4)</f>
        <v>0.7414</v>
      </c>
      <c r="L147" s="157">
        <f>IF(K147&gt;1,J147,J147*K147)</f>
        <v>593.12</v>
      </c>
      <c r="M147" s="24"/>
      <c r="N147" s="24"/>
      <c r="O147" s="24"/>
      <c r="P147" s="24"/>
      <c r="Q147" s="24"/>
    </row>
    <row r="148" spans="1:17" ht="12.75">
      <c r="A148" s="5"/>
      <c r="B148" s="7"/>
      <c r="C148" s="5"/>
      <c r="D148" s="5"/>
      <c r="E148" s="5"/>
      <c r="F148" s="5"/>
      <c r="G148" s="5"/>
      <c r="H148" s="143" t="s">
        <v>95</v>
      </c>
      <c r="I148" s="160"/>
      <c r="J148" s="182">
        <f>K148*L144</f>
        <v>0</v>
      </c>
      <c r="K148" s="182">
        <f>IF(L69&gt;L145,0,L147)</f>
        <v>593.12</v>
      </c>
      <c r="L148" s="182">
        <f>J148/12</f>
        <v>0</v>
      </c>
      <c r="M148" s="24"/>
      <c r="N148" s="24"/>
      <c r="O148" s="24"/>
      <c r="P148" s="24"/>
      <c r="Q148" s="24"/>
    </row>
    <row r="149" spans="1:17" ht="12.75">
      <c r="A149" s="5"/>
      <c r="B149" s="7"/>
      <c r="C149" s="5"/>
      <c r="D149" s="5"/>
      <c r="E149" s="5"/>
      <c r="F149" s="5"/>
      <c r="G149" s="5"/>
      <c r="H149" s="143" t="s">
        <v>137</v>
      </c>
      <c r="I149" s="146"/>
      <c r="J149" s="161">
        <f>IF(K149&gt;K148,K149*L144,K148*L144)</f>
        <v>0</v>
      </c>
      <c r="K149" s="194">
        <f>K112</f>
        <v>690</v>
      </c>
      <c r="L149" s="161">
        <f>J149/12</f>
        <v>0</v>
      </c>
      <c r="M149" s="24"/>
      <c r="N149" s="24"/>
      <c r="O149" s="24"/>
      <c r="P149" s="24"/>
      <c r="Q149" s="24"/>
    </row>
    <row r="150" spans="1:17" ht="12.75">
      <c r="A150" s="5"/>
      <c r="B150" s="7"/>
      <c r="C150" s="5"/>
      <c r="D150" s="5"/>
      <c r="E150" s="5"/>
      <c r="F150" s="5"/>
      <c r="G150" s="5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12.75">
      <c r="A151" s="5"/>
      <c r="B151" s="7"/>
      <c r="C151" s="5"/>
      <c r="D151" s="5"/>
      <c r="E151" s="5"/>
      <c r="F151" s="5"/>
      <c r="G151" s="5"/>
      <c r="H151" s="140" t="s">
        <v>132</v>
      </c>
      <c r="I151" s="141"/>
      <c r="J151" s="150">
        <f>IF(K149&gt;K148,1,0)</f>
        <v>1</v>
      </c>
      <c r="K151" s="150">
        <f>IF(J136&gt;0,J136-1,0)</f>
        <v>0</v>
      </c>
      <c r="L151" s="149">
        <f>IF(J136&gt;1,1,0)</f>
        <v>0</v>
      </c>
      <c r="M151" s="24"/>
      <c r="N151" s="24"/>
      <c r="O151" s="24"/>
      <c r="P151" s="24"/>
      <c r="Q151" s="24"/>
    </row>
    <row r="152" spans="1:17" ht="12.75">
      <c r="A152" s="5"/>
      <c r="B152" s="7"/>
      <c r="C152" s="5"/>
      <c r="D152" s="5"/>
      <c r="E152" s="5"/>
      <c r="F152" s="5"/>
      <c r="G152" s="5"/>
      <c r="H152" s="134" t="s">
        <v>122</v>
      </c>
      <c r="I152" s="154"/>
      <c r="J152" s="148">
        <v>95000</v>
      </c>
      <c r="K152" s="148">
        <f>IF(J136&gt;1,(J136-1-J151)*15000,0)</f>
        <v>0</v>
      </c>
      <c r="L152" s="157">
        <f>J152+K152</f>
        <v>95000</v>
      </c>
      <c r="M152" s="24"/>
      <c r="N152" s="24"/>
      <c r="O152" s="24"/>
      <c r="P152" s="24"/>
      <c r="Q152" s="24"/>
    </row>
    <row r="153" spans="1:17" ht="12.75">
      <c r="A153" s="5"/>
      <c r="B153" s="7"/>
      <c r="C153" s="5"/>
      <c r="D153" s="5"/>
      <c r="E153" s="5"/>
      <c r="F153" s="5"/>
      <c r="G153" s="5"/>
      <c r="H153" s="124" t="s">
        <v>123</v>
      </c>
      <c r="I153" s="125"/>
      <c r="J153" s="148">
        <f>IF(J139=0,0,100*J139)</f>
        <v>0</v>
      </c>
      <c r="K153" s="148">
        <f>220*J140</f>
        <v>0</v>
      </c>
      <c r="L153" s="157">
        <f>IF(J136&gt;3,J136*200,0)</f>
        <v>0</v>
      </c>
      <c r="M153" s="24"/>
      <c r="N153" s="24"/>
      <c r="O153" s="24"/>
      <c r="P153" s="24"/>
      <c r="Q153" s="24"/>
    </row>
    <row r="154" spans="1:17" ht="12.75">
      <c r="A154" s="5"/>
      <c r="B154" s="7"/>
      <c r="C154" s="5"/>
      <c r="D154" s="5"/>
      <c r="E154" s="5"/>
      <c r="F154" s="5"/>
      <c r="G154" s="5"/>
      <c r="H154" s="158" t="s">
        <v>124</v>
      </c>
      <c r="I154" s="127"/>
      <c r="J154" s="148">
        <f>800*K151+J153+K153+L153</f>
        <v>0</v>
      </c>
      <c r="K154" s="159">
        <f>ROUND((L152-L69)/L152,4)</f>
        <v>0.7414</v>
      </c>
      <c r="L154" s="157">
        <f>IF(K154&gt;1,J154,J154*K154)</f>
        <v>0</v>
      </c>
      <c r="M154" s="24"/>
      <c r="N154" s="24"/>
      <c r="O154" s="24"/>
      <c r="P154" s="24"/>
      <c r="Q154" s="24"/>
    </row>
    <row r="155" spans="1:17" ht="12.75">
      <c r="A155" s="5"/>
      <c r="B155" s="7"/>
      <c r="C155" s="5"/>
      <c r="D155" s="5"/>
      <c r="E155" s="5"/>
      <c r="F155" s="5"/>
      <c r="G155" s="5"/>
      <c r="H155" s="143" t="s">
        <v>95</v>
      </c>
      <c r="I155" s="160"/>
      <c r="J155" s="161">
        <f>K155*L151</f>
        <v>0</v>
      </c>
      <c r="K155" s="182">
        <f>IF(L69&gt;L152,0,L154)</f>
        <v>0</v>
      </c>
      <c r="L155" s="161">
        <f>J155/12</f>
        <v>0</v>
      </c>
      <c r="M155" s="24"/>
      <c r="N155" s="24"/>
      <c r="O155" s="24"/>
      <c r="P155" s="24"/>
      <c r="Q155" s="24"/>
    </row>
    <row r="156" spans="1:17" ht="12.75">
      <c r="A156" s="5"/>
      <c r="B156" s="7"/>
      <c r="C156" s="5"/>
      <c r="D156" s="5"/>
      <c r="E156" s="5"/>
      <c r="F156" s="5"/>
      <c r="G156" s="5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ht="12.75">
      <c r="A157" s="5"/>
      <c r="B157" s="7"/>
      <c r="C157" s="5"/>
      <c r="D157" s="5"/>
      <c r="E157" s="5"/>
      <c r="F157" s="5"/>
      <c r="G157" s="5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ht="12.75">
      <c r="A158" s="5"/>
      <c r="B158" s="7"/>
      <c r="C158" s="5"/>
      <c r="D158" s="5"/>
      <c r="E158" s="5"/>
      <c r="F158" s="5"/>
      <c r="G158" s="5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12.75">
      <c r="A159" s="5"/>
      <c r="B159" s="7"/>
      <c r="C159" s="5"/>
      <c r="D159" s="5"/>
      <c r="E159" s="5"/>
      <c r="F159" s="5"/>
      <c r="G159" s="5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12.75">
      <c r="A160" s="5"/>
      <c r="B160" s="7"/>
      <c r="C160" s="5"/>
      <c r="D160" s="5"/>
      <c r="E160" s="5"/>
      <c r="F160" s="5"/>
      <c r="G160" s="5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12.75">
      <c r="A161" s="5"/>
      <c r="B161" s="7"/>
      <c r="C161" s="5"/>
      <c r="D161" s="5"/>
      <c r="E161" s="5"/>
      <c r="F161" s="5"/>
      <c r="G161" s="5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ht="12.75">
      <c r="A162" s="5"/>
      <c r="B162" s="7"/>
      <c r="C162" s="5"/>
      <c r="D162" s="5"/>
      <c r="E162" s="5"/>
      <c r="F162" s="5"/>
      <c r="G162" s="5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ht="12.75">
      <c r="A163" s="5"/>
      <c r="B163" s="7"/>
      <c r="C163" s="5"/>
      <c r="D163" s="5"/>
      <c r="E163" s="5"/>
      <c r="F163" s="5"/>
      <c r="G163" s="5"/>
      <c r="H163" s="27" t="s">
        <v>4</v>
      </c>
      <c r="I163" s="27"/>
      <c r="J163" s="27"/>
      <c r="K163" s="27"/>
      <c r="L163" s="24"/>
      <c r="M163" s="24"/>
      <c r="N163" s="24"/>
      <c r="O163" s="24"/>
      <c r="P163" s="24"/>
      <c r="Q163" s="24"/>
    </row>
    <row r="164" spans="1:17" ht="12.75">
      <c r="A164" s="5"/>
      <c r="B164" s="7"/>
      <c r="C164" s="5"/>
      <c r="D164" s="5"/>
      <c r="E164" s="5"/>
      <c r="F164" s="5"/>
      <c r="G164" s="5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6" ht="12.75">
      <c r="A165" s="5"/>
      <c r="B165" s="7"/>
      <c r="C165" s="5"/>
      <c r="D165" s="5"/>
      <c r="E165" s="5"/>
      <c r="F165" s="5"/>
      <c r="G165" s="5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2.75">
      <c r="A166" s="5"/>
      <c r="B166" s="7"/>
      <c r="C166" s="5"/>
      <c r="D166" s="5"/>
      <c r="E166" s="5"/>
      <c r="F166" s="5"/>
      <c r="G166" s="5"/>
      <c r="H166" s="6"/>
      <c r="I166" s="6"/>
      <c r="J166" s="6"/>
      <c r="K166" s="6"/>
      <c r="L166" s="6"/>
      <c r="M166" s="6"/>
      <c r="N166" s="6"/>
      <c r="O166" s="10"/>
      <c r="P166" s="6"/>
    </row>
    <row r="167" spans="1:16" ht="20.25">
      <c r="A167" s="5"/>
      <c r="B167" s="7"/>
      <c r="C167" s="5"/>
      <c r="D167" s="5"/>
      <c r="E167" s="5"/>
      <c r="F167" s="5"/>
      <c r="G167" s="5"/>
      <c r="H167" s="8" t="str">
        <f>A2</f>
        <v>sportellopensioni</v>
      </c>
      <c r="I167" s="8"/>
      <c r="J167" s="8"/>
      <c r="K167" s="8"/>
      <c r="L167" s="6"/>
      <c r="M167" s="6"/>
      <c r="N167" s="6"/>
      <c r="O167" s="10"/>
      <c r="P167" s="6"/>
    </row>
    <row r="168" spans="1:16" ht="20.25">
      <c r="A168" s="5"/>
      <c r="B168" s="7"/>
      <c r="C168" s="5"/>
      <c r="D168" s="5"/>
      <c r="E168" s="5"/>
      <c r="F168" s="5"/>
      <c r="G168" s="5"/>
      <c r="H168" s="8"/>
      <c r="I168" s="34"/>
      <c r="J168" s="6"/>
      <c r="K168" s="6"/>
      <c r="L168" s="6"/>
      <c r="M168" s="6" t="s">
        <v>0</v>
      </c>
      <c r="N168" s="6"/>
      <c r="O168" s="12"/>
      <c r="P168" s="6"/>
    </row>
    <row r="169" spans="1:16" ht="12.75">
      <c r="A169" s="5"/>
      <c r="B169" s="7"/>
      <c r="C169" s="5"/>
      <c r="D169" s="5"/>
      <c r="E169" s="5"/>
      <c r="F169" s="5"/>
      <c r="G169" s="5"/>
      <c r="H169" s="6"/>
      <c r="I169" s="6"/>
      <c r="J169" s="6"/>
      <c r="K169" s="6"/>
      <c r="L169" s="6"/>
      <c r="M169" s="6"/>
      <c r="N169" s="6"/>
      <c r="O169" s="10"/>
      <c r="P169" s="6"/>
    </row>
    <row r="170" spans="1:16" ht="12.75">
      <c r="A170" s="5"/>
      <c r="B170" s="7"/>
      <c r="C170" s="5"/>
      <c r="D170" s="5"/>
      <c r="E170" s="5"/>
      <c r="F170" s="5"/>
      <c r="G170" s="5"/>
      <c r="H170" s="6"/>
      <c r="I170" s="6"/>
      <c r="J170" s="6"/>
      <c r="K170" s="6"/>
      <c r="L170" s="6"/>
      <c r="M170" s="6"/>
      <c r="N170" s="6"/>
      <c r="O170" s="10"/>
      <c r="P170" s="6"/>
    </row>
    <row r="171" spans="1:16" ht="15.75">
      <c r="A171" s="5"/>
      <c r="B171" s="7"/>
      <c r="C171" s="5"/>
      <c r="D171" s="5"/>
      <c r="E171" s="5"/>
      <c r="F171" s="5"/>
      <c r="G171" s="5"/>
      <c r="H171" s="46" t="s">
        <v>72</v>
      </c>
      <c r="I171" s="46"/>
      <c r="J171" s="6"/>
      <c r="K171" s="6"/>
      <c r="L171" s="6"/>
      <c r="M171" s="6"/>
      <c r="N171" s="135">
        <f>B14</f>
        <v>2008</v>
      </c>
      <c r="O171" s="10"/>
      <c r="P171" s="6"/>
    </row>
    <row r="172" spans="1:16" ht="12.75">
      <c r="A172" s="5"/>
      <c r="B172" s="7"/>
      <c r="C172" s="5"/>
      <c r="D172" s="5"/>
      <c r="E172" s="5"/>
      <c r="F172" s="5"/>
      <c r="G172" s="5"/>
      <c r="H172" s="6"/>
      <c r="I172" s="6"/>
      <c r="J172" s="9"/>
      <c r="K172" s="9"/>
      <c r="L172" s="6"/>
      <c r="M172" s="6"/>
      <c r="N172" s="6"/>
      <c r="O172" s="90"/>
      <c r="P172" s="6"/>
    </row>
    <row r="173" spans="1:16" ht="12.75">
      <c r="A173" s="5"/>
      <c r="B173" s="7"/>
      <c r="C173" s="5"/>
      <c r="D173" s="5"/>
      <c r="E173" s="5"/>
      <c r="F173" s="5"/>
      <c r="G173" s="5"/>
      <c r="H173" s="47"/>
      <c r="I173" s="47"/>
      <c r="J173" s="6"/>
      <c r="K173" s="6"/>
      <c r="L173" s="6"/>
      <c r="M173" s="10" t="s">
        <v>0</v>
      </c>
      <c r="N173" s="10" t="s">
        <v>0</v>
      </c>
      <c r="O173" s="6"/>
      <c r="P173" s="6"/>
    </row>
    <row r="174" spans="1:16" ht="12.75">
      <c r="A174" s="5"/>
      <c r="B174" s="7"/>
      <c r="C174" s="5"/>
      <c r="D174" s="5"/>
      <c r="E174" s="5"/>
      <c r="F174" s="5"/>
      <c r="G174" s="5"/>
      <c r="H174" s="47">
        <f>A7</f>
        <v>0</v>
      </c>
      <c r="I174" s="47"/>
      <c r="J174" s="6"/>
      <c r="K174" s="6"/>
      <c r="L174" s="10" t="s">
        <v>0</v>
      </c>
      <c r="M174" s="6"/>
      <c r="N174" s="6"/>
      <c r="O174" s="10"/>
      <c r="P174" s="6"/>
    </row>
    <row r="175" spans="1:16" ht="12.75">
      <c r="A175" s="5"/>
      <c r="B175" s="7"/>
      <c r="C175" s="5"/>
      <c r="D175" s="5"/>
      <c r="E175" s="5"/>
      <c r="F175" s="5"/>
      <c r="G175" s="5"/>
      <c r="H175" s="6" t="str">
        <f>VLOOKUP(C10,Dati!S7:T14,2)</f>
        <v>Insegnante scuola media</v>
      </c>
      <c r="I175" s="6"/>
      <c r="J175" s="6"/>
      <c r="K175" s="6"/>
      <c r="L175" s="32"/>
      <c r="M175" s="11"/>
      <c r="N175" s="32"/>
      <c r="O175" s="10"/>
      <c r="P175" s="6"/>
    </row>
    <row r="176" spans="1:16" ht="12.75">
      <c r="A176" s="5"/>
      <c r="B176" s="7"/>
      <c r="C176" s="5"/>
      <c r="D176" s="5"/>
      <c r="E176" s="5"/>
      <c r="F176" s="5"/>
      <c r="G176" s="5"/>
      <c r="H176" s="6" t="s">
        <v>0</v>
      </c>
      <c r="I176" s="6"/>
      <c r="J176" s="6"/>
      <c r="K176" s="6"/>
      <c r="L176" s="11"/>
      <c r="M176" s="11"/>
      <c r="N176" s="11"/>
      <c r="O176" s="10"/>
      <c r="P176" s="6"/>
    </row>
    <row r="177" spans="1:16" ht="12.75">
      <c r="A177" s="5"/>
      <c r="B177" s="7"/>
      <c r="C177" s="5"/>
      <c r="D177" s="5"/>
      <c r="E177" s="5"/>
      <c r="F177" s="5"/>
      <c r="G177" s="5"/>
      <c r="H177" s="6"/>
      <c r="I177" s="6"/>
      <c r="J177" s="6"/>
      <c r="K177" s="6"/>
      <c r="L177" s="10" t="str">
        <f>L3</f>
        <v>euro</v>
      </c>
      <c r="M177" s="45"/>
      <c r="N177" s="10" t="str">
        <f>N3</f>
        <v>lire</v>
      </c>
      <c r="O177" s="10"/>
      <c r="P177" s="41"/>
    </row>
    <row r="178" spans="1:16" ht="12.75">
      <c r="A178" s="5"/>
      <c r="B178" s="7"/>
      <c r="C178" s="5"/>
      <c r="D178" s="5"/>
      <c r="E178" s="5"/>
      <c r="F178" s="5"/>
      <c r="G178" s="5"/>
      <c r="H178" s="6"/>
      <c r="I178" s="6"/>
      <c r="J178" s="6"/>
      <c r="K178" s="6"/>
      <c r="L178" s="39"/>
      <c r="M178" s="29"/>
      <c r="N178" s="30"/>
      <c r="O178" s="6"/>
      <c r="P178" s="6"/>
    </row>
    <row r="179" spans="1:16" ht="12.75">
      <c r="A179" s="5"/>
      <c r="B179" s="7"/>
      <c r="C179" s="5"/>
      <c r="D179" s="5"/>
      <c r="E179" s="5"/>
      <c r="F179" s="5"/>
      <c r="G179" s="5"/>
      <c r="H179" s="6" t="str">
        <f aca="true" t="shared" si="1" ref="H179:H205">H5</f>
        <v>Anzianità retributiva/retribuzione mensile lorda</v>
      </c>
      <c r="I179" s="6"/>
      <c r="J179" s="6">
        <f>J5</f>
        <v>29</v>
      </c>
      <c r="K179" s="6"/>
      <c r="L179" s="39">
        <f>L5</f>
        <v>1854.2716666666665</v>
      </c>
      <c r="M179" s="29"/>
      <c r="N179" s="30">
        <f>N5</f>
        <v>3590370.6000166666</v>
      </c>
      <c r="O179" s="6"/>
      <c r="P179" s="6"/>
    </row>
    <row r="180" spans="1:16" ht="12.75">
      <c r="A180" s="5"/>
      <c r="B180" s="7"/>
      <c r="C180" s="5"/>
      <c r="D180" s="5"/>
      <c r="E180" s="5"/>
      <c r="F180" s="5"/>
      <c r="G180" s="5"/>
      <c r="H180" s="6" t="str">
        <f t="shared" si="1"/>
        <v>Retribuzione annua senza indennità int. speciale</v>
      </c>
      <c r="I180" s="6"/>
      <c r="J180" s="6"/>
      <c r="K180" s="6"/>
      <c r="L180" s="39">
        <f>L6</f>
        <v>22251.26</v>
      </c>
      <c r="M180" s="29"/>
      <c r="N180" s="30">
        <f>N6</f>
        <v>43084447.2002</v>
      </c>
      <c r="O180" s="6"/>
      <c r="P180" s="6"/>
    </row>
    <row r="181" spans="1:16" ht="12.75">
      <c r="A181" s="5"/>
      <c r="B181" s="7"/>
      <c r="C181" s="5"/>
      <c r="D181" s="5"/>
      <c r="E181" s="5"/>
      <c r="F181" s="5"/>
      <c r="G181" s="5"/>
      <c r="H181" s="6" t="str">
        <f t="shared" si="1"/>
        <v>Retribuzione maggiorata del 18%</v>
      </c>
      <c r="I181" s="6"/>
      <c r="J181" s="6"/>
      <c r="K181" s="6"/>
      <c r="L181" s="39">
        <f>L7</f>
        <v>26256.486799999995</v>
      </c>
      <c r="M181" s="29"/>
      <c r="N181" s="30">
        <f>N7</f>
        <v>50839647.69623599</v>
      </c>
      <c r="O181" s="6"/>
      <c r="P181" s="6"/>
    </row>
    <row r="182" spans="1:16" ht="12.75">
      <c r="A182" s="5"/>
      <c r="B182" s="7"/>
      <c r="C182" s="5"/>
      <c r="D182" s="5"/>
      <c r="E182" s="5"/>
      <c r="F182" s="5"/>
      <c r="G182" s="5"/>
      <c r="H182" s="6" t="str">
        <f t="shared" si="1"/>
        <v>Indennità integrativa speciale annua</v>
      </c>
      <c r="I182" s="6"/>
      <c r="J182" s="6"/>
      <c r="K182" s="6"/>
      <c r="L182" s="39">
        <f>L8</f>
        <v>6459.6</v>
      </c>
      <c r="M182" s="29"/>
      <c r="N182" s="30">
        <f>N8</f>
        <v>12507529.692</v>
      </c>
      <c r="O182" s="6"/>
      <c r="P182" s="6"/>
    </row>
    <row r="183" spans="1:16" ht="12.75">
      <c r="A183" s="5"/>
      <c r="B183" s="7"/>
      <c r="C183" s="5"/>
      <c r="D183" s="5"/>
      <c r="E183" s="5"/>
      <c r="F183" s="5"/>
      <c r="G183" s="5"/>
      <c r="H183" s="6" t="str">
        <f t="shared" si="1"/>
        <v>Retribuzione totale per calcolo parte A</v>
      </c>
      <c r="I183" s="6"/>
      <c r="J183" s="6"/>
      <c r="K183" s="6"/>
      <c r="L183" s="39">
        <f>L9</f>
        <v>32716.086799999997</v>
      </c>
      <c r="M183" s="29"/>
      <c r="N183" s="30">
        <f>N9</f>
        <v>63347177.38823599</v>
      </c>
      <c r="O183" s="6"/>
      <c r="P183" s="6"/>
    </row>
    <row r="184" spans="1:16" ht="12.75">
      <c r="A184" s="5"/>
      <c r="B184" s="7"/>
      <c r="C184" s="5"/>
      <c r="D184" s="5"/>
      <c r="E184" s="5"/>
      <c r="F184" s="5"/>
      <c r="G184" s="5"/>
      <c r="H184" s="89" t="str">
        <f t="shared" si="1"/>
        <v>Anzianità pensionistica alla cessazione in anni e mesi</v>
      </c>
      <c r="I184" s="6"/>
      <c r="J184" s="6">
        <f aca="true" t="shared" si="2" ref="J184:K187">J10</f>
        <v>35</v>
      </c>
      <c r="K184" s="6">
        <f t="shared" si="2"/>
        <v>0</v>
      </c>
      <c r="L184" s="39"/>
      <c r="M184" s="29"/>
      <c r="N184" s="30"/>
      <c r="O184" s="6"/>
      <c r="P184" s="6"/>
    </row>
    <row r="185" spans="1:16" ht="12.75">
      <c r="A185" s="5"/>
      <c r="B185" s="7"/>
      <c r="C185" s="5"/>
      <c r="D185" s="5"/>
      <c r="E185" s="5"/>
      <c r="F185" s="5"/>
      <c r="G185" s="5"/>
      <c r="H185" s="89" t="str">
        <f t="shared" si="1"/>
        <v>Percentuale e coefficiente alla cessazione</v>
      </c>
      <c r="I185" s="6"/>
      <c r="J185" s="92">
        <f t="shared" si="2"/>
        <v>71</v>
      </c>
      <c r="K185" s="116">
        <f t="shared" si="2"/>
        <v>0.71</v>
      </c>
      <c r="L185" s="39"/>
      <c r="M185" s="29"/>
      <c r="N185" s="30"/>
      <c r="O185" s="6"/>
      <c r="P185" s="6"/>
    </row>
    <row r="186" spans="1:16" ht="12.75">
      <c r="A186" s="5"/>
      <c r="B186" s="7"/>
      <c r="C186" s="5"/>
      <c r="D186" s="5"/>
      <c r="E186" s="5"/>
      <c r="F186" s="5"/>
      <c r="G186" s="5"/>
      <c r="H186" s="6" t="str">
        <f t="shared" si="1"/>
        <v>Anzianità pensionistica al 31/12/92 in anni e mesi</v>
      </c>
      <c r="I186" s="6"/>
      <c r="J186" s="6">
        <f t="shared" si="2"/>
        <v>19</v>
      </c>
      <c r="K186" s="6">
        <f t="shared" si="2"/>
        <v>4</v>
      </c>
      <c r="L186" s="39"/>
      <c r="M186" s="29"/>
      <c r="N186" s="30"/>
      <c r="O186" s="6"/>
      <c r="P186" s="6"/>
    </row>
    <row r="187" spans="1:16" ht="12.75">
      <c r="A187" s="5"/>
      <c r="B187" s="7"/>
      <c r="C187" s="5"/>
      <c r="D187" s="5"/>
      <c r="E187" s="5"/>
      <c r="F187" s="5"/>
      <c r="G187" s="5"/>
      <c r="H187" s="6" t="str">
        <f t="shared" si="1"/>
        <v>Percentuale e coefficiente al 31/12/92</v>
      </c>
      <c r="I187" s="6"/>
      <c r="J187" s="6">
        <f t="shared" si="2"/>
        <v>42.800000000000004</v>
      </c>
      <c r="K187" s="6">
        <f t="shared" si="2"/>
        <v>0.42800000000000005</v>
      </c>
      <c r="L187" s="39"/>
      <c r="M187" s="29"/>
      <c r="N187" s="30"/>
      <c r="O187" s="6"/>
      <c r="P187" s="6"/>
    </row>
    <row r="188" spans="1:16" ht="12.75">
      <c r="A188" s="5"/>
      <c r="B188" s="7"/>
      <c r="C188" s="5"/>
      <c r="D188" s="5"/>
      <c r="E188" s="5"/>
      <c r="F188" s="5"/>
      <c r="G188" s="5"/>
      <c r="H188" s="28" t="str">
        <f t="shared" si="1"/>
        <v>Quota A della pensione</v>
      </c>
      <c r="I188" s="6"/>
      <c r="J188" s="6"/>
      <c r="K188" s="6"/>
      <c r="L188" s="40">
        <f>L14</f>
        <v>14002.4851504</v>
      </c>
      <c r="M188" s="10"/>
      <c r="N188" s="31">
        <f>N14</f>
        <v>27112591.922165006</v>
      </c>
      <c r="O188" s="6"/>
      <c r="P188" s="6"/>
    </row>
    <row r="189" spans="1:16" ht="12.75">
      <c r="A189" s="5"/>
      <c r="B189" s="7"/>
      <c r="C189" s="5"/>
      <c r="D189" s="5"/>
      <c r="E189" s="5"/>
      <c r="F189" s="5"/>
      <c r="G189" s="5"/>
      <c r="H189" s="6" t="str">
        <f t="shared" si="1"/>
        <v>Anzianità pensionistica al 31/12/97 in anni e mesi</v>
      </c>
      <c r="I189" s="6"/>
      <c r="J189" s="6">
        <f aca="true" t="shared" si="3" ref="J189:K191">J15</f>
        <v>24</v>
      </c>
      <c r="K189" s="6">
        <f t="shared" si="3"/>
        <v>4</v>
      </c>
      <c r="L189" s="39"/>
      <c r="M189" s="29"/>
      <c r="N189" s="30"/>
      <c r="O189" s="6"/>
      <c r="P189" s="6"/>
    </row>
    <row r="190" spans="1:16" ht="12.75">
      <c r="A190" s="5"/>
      <c r="B190" s="7"/>
      <c r="C190" s="5"/>
      <c r="D190" s="5"/>
      <c r="E190" s="5"/>
      <c r="F190" s="5"/>
      <c r="G190" s="5"/>
      <c r="H190" s="6" t="str">
        <f t="shared" si="1"/>
        <v>Percentuale e coefficiente al 31/12/97</v>
      </c>
      <c r="I190" s="6"/>
      <c r="J190" s="6">
        <f t="shared" si="3"/>
        <v>51.800000000000004</v>
      </c>
      <c r="K190" s="6">
        <f t="shared" si="3"/>
        <v>0.518</v>
      </c>
      <c r="L190" s="39"/>
      <c r="M190" s="29"/>
      <c r="N190" s="30"/>
      <c r="O190" s="6"/>
      <c r="P190" s="6"/>
    </row>
    <row r="191" spans="1:16" ht="12.75">
      <c r="A191" s="5"/>
      <c r="B191" s="7"/>
      <c r="C191" s="5"/>
      <c r="D191" s="5"/>
      <c r="E191" s="5"/>
      <c r="F191" s="5"/>
      <c r="G191" s="5"/>
      <c r="H191" s="6" t="str">
        <f t="shared" si="1"/>
        <v>Percentuale e coefficiente del periodo  92/97</v>
      </c>
      <c r="I191" s="6"/>
      <c r="J191" s="92">
        <f t="shared" si="3"/>
        <v>9</v>
      </c>
      <c r="K191" s="116">
        <f t="shared" si="3"/>
        <v>0.09</v>
      </c>
      <c r="L191" s="39"/>
      <c r="M191" s="29"/>
      <c r="N191" s="30"/>
      <c r="O191" s="6"/>
      <c r="P191" s="6"/>
    </row>
    <row r="192" spans="1:16" ht="12.75">
      <c r="A192" s="5"/>
      <c r="B192" s="7"/>
      <c r="C192" s="5"/>
      <c r="D192" s="5"/>
      <c r="E192" s="5"/>
      <c r="F192" s="5"/>
      <c r="G192" s="5"/>
      <c r="H192" s="89" t="str">
        <f t="shared" si="1"/>
        <v>Retribuzione media degli ultimi 111 mesi rivalutata</v>
      </c>
      <c r="I192" s="6"/>
      <c r="J192" s="6"/>
      <c r="K192" s="6"/>
      <c r="L192" s="39">
        <f>L18</f>
        <v>19902.436714867006</v>
      </c>
      <c r="M192" s="29"/>
      <c r="N192" s="30">
        <f>N18</f>
        <v>38536491.13789554</v>
      </c>
      <c r="O192" s="6"/>
      <c r="P192" s="6"/>
    </row>
    <row r="193" spans="1:16" ht="12.75">
      <c r="A193" s="5"/>
      <c r="B193" s="7"/>
      <c r="C193" s="5"/>
      <c r="D193" s="5"/>
      <c r="E193" s="5"/>
      <c r="F193" s="5"/>
      <c r="G193" s="5"/>
      <c r="H193" s="6" t="str">
        <f t="shared" si="1"/>
        <v>Retribuzione media maggiorata del 18%</v>
      </c>
      <c r="I193" s="6"/>
      <c r="J193" s="6"/>
      <c r="K193" s="6"/>
      <c r="L193" s="39">
        <f>L19</f>
        <v>23484.875323543067</v>
      </c>
      <c r="M193" s="29"/>
      <c r="N193" s="30">
        <f>N19</f>
        <v>45473059.542716734</v>
      </c>
      <c r="O193" s="6"/>
      <c r="P193" s="6"/>
    </row>
    <row r="194" spans="1:16" ht="12.75">
      <c r="A194" s="5"/>
      <c r="B194" s="7"/>
      <c r="C194" s="5"/>
      <c r="D194" s="5"/>
      <c r="E194" s="5"/>
      <c r="F194" s="5"/>
      <c r="G194" s="5"/>
      <c r="H194" s="6" t="str">
        <f t="shared" si="1"/>
        <v>Indennità integrativa speciale annua rivalutata</v>
      </c>
      <c r="I194" s="6"/>
      <c r="J194" s="6"/>
      <c r="K194" s="6"/>
      <c r="L194" s="39">
        <f>L20</f>
        <v>7274.828661176471</v>
      </c>
      <c r="M194" s="29"/>
      <c r="N194" s="30">
        <f>N20</f>
        <v>14086032.491776165</v>
      </c>
      <c r="O194" s="6"/>
      <c r="P194" s="6"/>
    </row>
    <row r="195" spans="1:16" ht="12.75">
      <c r="A195" s="5"/>
      <c r="B195" s="7"/>
      <c r="C195" s="5"/>
      <c r="D195" s="5"/>
      <c r="E195" s="5"/>
      <c r="F195" s="5"/>
      <c r="G195" s="5"/>
      <c r="H195" s="6" t="str">
        <f t="shared" si="1"/>
        <v>Retribuzione totale per calcolo periodo 92/97</v>
      </c>
      <c r="I195" s="6"/>
      <c r="J195" s="6"/>
      <c r="K195" s="6"/>
      <c r="L195" s="39">
        <f>L21</f>
        <v>30759.703984719537</v>
      </c>
      <c r="M195" s="29"/>
      <c r="N195" s="30">
        <f>N21</f>
        <v>59559092.034492895</v>
      </c>
      <c r="O195" s="6"/>
      <c r="P195" s="6"/>
    </row>
    <row r="196" spans="1:16" ht="12.75">
      <c r="A196" s="5"/>
      <c r="B196" s="7"/>
      <c r="C196" s="5"/>
      <c r="D196" s="5"/>
      <c r="E196" s="5"/>
      <c r="F196" s="5"/>
      <c r="G196" s="5"/>
      <c r="H196" s="6" t="str">
        <f t="shared" si="1"/>
        <v>Quota di pensione periodo 92/97</v>
      </c>
      <c r="I196" s="6"/>
      <c r="J196" s="6"/>
      <c r="K196" s="6"/>
      <c r="L196" s="39">
        <f>L22</f>
        <v>2768.373358624758</v>
      </c>
      <c r="M196" s="29"/>
      <c r="N196" s="30">
        <f>N22</f>
        <v>5360318.28310436</v>
      </c>
      <c r="O196" s="6"/>
      <c r="P196" s="6"/>
    </row>
    <row r="197" spans="1:16" ht="12.75">
      <c r="A197" s="5"/>
      <c r="B197" s="7"/>
      <c r="C197" s="5"/>
      <c r="D197" s="5"/>
      <c r="E197" s="5"/>
      <c r="F197" s="5"/>
      <c r="G197" s="5"/>
      <c r="H197" s="6" t="str">
        <f t="shared" si="1"/>
        <v>Percentuale e coefficiente periodo dal 98 in poi</v>
      </c>
      <c r="I197" s="6"/>
      <c r="J197" s="6">
        <f>J23</f>
        <v>19.199999999999996</v>
      </c>
      <c r="K197" s="6">
        <f>K23</f>
        <v>0.19199999999999995</v>
      </c>
      <c r="L197" s="39"/>
      <c r="M197" s="29"/>
      <c r="N197" s="30"/>
      <c r="O197" s="6"/>
      <c r="P197" s="6"/>
    </row>
    <row r="198" spans="1:16" ht="12.75">
      <c r="A198" s="5"/>
      <c r="B198" s="7"/>
      <c r="C198" s="5"/>
      <c r="D198" s="5"/>
      <c r="E198" s="5"/>
      <c r="F198" s="5"/>
      <c r="G198" s="5"/>
      <c r="H198" s="6" t="str">
        <f t="shared" si="1"/>
        <v>Retribuzione media totale per calcolo dal 98 in poi</v>
      </c>
      <c r="I198" s="6"/>
      <c r="J198" s="6"/>
      <c r="K198" s="6"/>
      <c r="L198" s="39">
        <f aca="true" t="shared" si="4" ref="L198:L203">L24</f>
        <v>30759.703984719537</v>
      </c>
      <c r="M198" s="29"/>
      <c r="N198" s="30">
        <f aca="true" t="shared" si="5" ref="N198:N203">N24</f>
        <v>59559092.034492895</v>
      </c>
      <c r="O198" s="6"/>
      <c r="P198" s="6"/>
    </row>
    <row r="199" spans="1:16" ht="12.75">
      <c r="A199" s="5"/>
      <c r="B199" s="7"/>
      <c r="C199" s="5"/>
      <c r="D199" s="5"/>
      <c r="E199" s="5"/>
      <c r="F199" s="5"/>
      <c r="G199" s="5"/>
      <c r="H199" s="6" t="str">
        <f t="shared" si="1"/>
        <v>Quota pensione dal 98 in poi</v>
      </c>
      <c r="I199" s="6"/>
      <c r="J199" s="6"/>
      <c r="K199" s="6"/>
      <c r="L199" s="39">
        <f t="shared" si="4"/>
        <v>5905.86316506615</v>
      </c>
      <c r="M199" s="29"/>
      <c r="N199" s="30">
        <f t="shared" si="5"/>
        <v>11435345.670622634</v>
      </c>
      <c r="O199" s="6"/>
      <c r="P199" s="6"/>
    </row>
    <row r="200" spans="1:16" ht="12.75">
      <c r="A200" s="5"/>
      <c r="B200" s="7"/>
      <c r="C200" s="5"/>
      <c r="D200" s="5"/>
      <c r="E200" s="5"/>
      <c r="F200" s="5"/>
      <c r="G200" s="5"/>
      <c r="H200" s="28" t="str">
        <f t="shared" si="1"/>
        <v>Quota B della pensione</v>
      </c>
      <c r="I200" s="28"/>
      <c r="J200" s="28"/>
      <c r="K200" s="28"/>
      <c r="L200" s="40">
        <f t="shared" si="4"/>
        <v>8674.236523690908</v>
      </c>
      <c r="M200" s="10"/>
      <c r="N200" s="31">
        <f t="shared" si="5"/>
        <v>16795663.953726996</v>
      </c>
      <c r="O200" s="6"/>
      <c r="P200" s="6"/>
    </row>
    <row r="201" spans="1:16" ht="12.75">
      <c r="A201" s="5"/>
      <c r="B201" s="7"/>
      <c r="C201" s="5"/>
      <c r="D201" s="5"/>
      <c r="E201" s="5"/>
      <c r="F201" s="5"/>
      <c r="G201" s="5"/>
      <c r="H201" s="41" t="str">
        <f t="shared" si="1"/>
        <v>PENSIONE ANNUA LORDA (Quota A + Quota B)</v>
      </c>
      <c r="I201" s="41"/>
      <c r="J201" s="41"/>
      <c r="K201" s="41"/>
      <c r="L201" s="42">
        <f t="shared" si="4"/>
        <v>22676.721674090906</v>
      </c>
      <c r="M201" s="43"/>
      <c r="N201" s="44">
        <f t="shared" si="5"/>
        <v>43908255.875892</v>
      </c>
      <c r="O201" s="6"/>
      <c r="P201" s="6"/>
    </row>
    <row r="202" spans="1:16" ht="12.75">
      <c r="A202" s="5"/>
      <c r="B202" s="7"/>
      <c r="C202" s="5"/>
      <c r="D202" s="5"/>
      <c r="E202" s="5"/>
      <c r="F202" s="5"/>
      <c r="G202" s="5"/>
      <c r="H202" s="6" t="str">
        <f t="shared" si="1"/>
        <v>Pensione mensile lorda</v>
      </c>
      <c r="I202" s="6"/>
      <c r="J202" s="6"/>
      <c r="K202" s="6"/>
      <c r="L202" s="39">
        <f t="shared" si="4"/>
        <v>1889.7268061742423</v>
      </c>
      <c r="M202" s="29"/>
      <c r="N202" s="30">
        <f t="shared" si="5"/>
        <v>3659021.322991</v>
      </c>
      <c r="O202" s="6"/>
      <c r="P202" s="6"/>
    </row>
    <row r="203" spans="1:16" ht="12.75">
      <c r="A203" s="5"/>
      <c r="B203" s="7"/>
      <c r="C203" s="5"/>
      <c r="D203" s="5"/>
      <c r="E203" s="5"/>
      <c r="F203" s="5"/>
      <c r="G203" s="5"/>
      <c r="H203" s="6" t="str">
        <f t="shared" si="1"/>
        <v>Irpef lorda</v>
      </c>
      <c r="I203" s="6"/>
      <c r="J203" s="6"/>
      <c r="K203" s="6"/>
      <c r="L203" s="39">
        <f t="shared" si="4"/>
        <v>460.23</v>
      </c>
      <c r="M203" s="29"/>
      <c r="N203" s="30">
        <f t="shared" si="5"/>
        <v>891129.5421000001</v>
      </c>
      <c r="O203" s="6"/>
      <c r="P203" s="6"/>
    </row>
    <row r="204" spans="1:16" ht="12.75">
      <c r="A204" s="5"/>
      <c r="B204" s="7"/>
      <c r="C204" s="5"/>
      <c r="D204" s="5"/>
      <c r="E204" s="5"/>
      <c r="F204" s="5"/>
      <c r="G204" s="5"/>
      <c r="H204" s="6" t="str">
        <f t="shared" si="1"/>
        <v>Detrazione sul reddito</v>
      </c>
      <c r="I204" s="6"/>
      <c r="J204" s="6"/>
      <c r="K204" s="230">
        <f>K30</f>
        <v>79.56666666666666</v>
      </c>
      <c r="L204" s="39"/>
      <c r="M204" s="29"/>
      <c r="N204" s="30"/>
      <c r="O204" s="6"/>
      <c r="P204" s="6"/>
    </row>
    <row r="205" spans="1:16" ht="12.75">
      <c r="A205" s="5"/>
      <c r="B205" s="7"/>
      <c r="C205" s="5"/>
      <c r="D205" s="5"/>
      <c r="E205" s="5"/>
      <c r="F205" s="5"/>
      <c r="G205" s="5"/>
      <c r="H205" s="6" t="str">
        <f t="shared" si="1"/>
        <v>Detrazioni per carichi di famiglia</v>
      </c>
      <c r="I205" s="6"/>
      <c r="J205" s="6"/>
      <c r="K205" s="230">
        <f>K31</f>
        <v>0</v>
      </c>
      <c r="L205" s="39"/>
      <c r="M205" s="29"/>
      <c r="N205" s="30"/>
      <c r="O205" s="6"/>
      <c r="P205" s="6"/>
    </row>
    <row r="206" spans="1:16" ht="12.75">
      <c r="A206" s="5"/>
      <c r="B206" s="7"/>
      <c r="C206" s="5"/>
      <c r="D206" s="5"/>
      <c r="E206" s="5"/>
      <c r="F206" s="5"/>
      <c r="G206" s="5"/>
      <c r="H206" s="6" t="str">
        <f>H32</f>
        <v>Irpef netta secondo la normativa vigente dal 1/1/07</v>
      </c>
      <c r="I206" s="6"/>
      <c r="J206" s="6"/>
      <c r="K206" s="6"/>
      <c r="L206" s="39">
        <f>L32</f>
        <v>380.66333333333336</v>
      </c>
      <c r="M206" s="29"/>
      <c r="N206" s="30">
        <f>N32</f>
        <v>737066.9924333334</v>
      </c>
      <c r="O206" s="6"/>
      <c r="P206" s="6"/>
    </row>
    <row r="207" spans="1:16" ht="12.75">
      <c r="A207" s="5"/>
      <c r="B207" s="7"/>
      <c r="C207" s="5"/>
      <c r="D207" s="5"/>
      <c r="E207" s="5"/>
      <c r="F207" s="5"/>
      <c r="G207" s="5"/>
      <c r="H207" s="41" t="str">
        <f>H33</f>
        <v>PENSIONE MENSILE NETTA</v>
      </c>
      <c r="I207" s="13"/>
      <c r="J207" s="6"/>
      <c r="K207" s="6"/>
      <c r="L207" s="42">
        <f>L33</f>
        <v>1509.0634728409088</v>
      </c>
      <c r="M207" s="43"/>
      <c r="N207" s="44">
        <f>N33</f>
        <v>2921954.3305576667</v>
      </c>
      <c r="O207" s="6"/>
      <c r="P207" s="6"/>
    </row>
    <row r="208" spans="1:16" ht="12.75">
      <c r="A208" s="5"/>
      <c r="B208" s="7"/>
      <c r="C208" s="5"/>
      <c r="D208" s="5"/>
      <c r="E208" s="5"/>
      <c r="F208" s="5"/>
      <c r="G208" s="5"/>
      <c r="H208" s="28"/>
      <c r="I208" s="6"/>
      <c r="J208" s="6"/>
      <c r="K208" s="6"/>
      <c r="L208" s="6"/>
      <c r="M208" s="6"/>
      <c r="N208" s="6"/>
      <c r="O208" s="6"/>
      <c r="P208" s="6"/>
    </row>
    <row r="209" spans="1:16" ht="12.75">
      <c r="A209" s="5"/>
      <c r="B209" s="7"/>
      <c r="C209" s="5"/>
      <c r="D209" s="5"/>
      <c r="E209" s="5"/>
      <c r="F209" s="5"/>
      <c r="G209" s="5"/>
      <c r="H209" s="28"/>
      <c r="I209" s="6"/>
      <c r="J209" s="6"/>
      <c r="K209" s="6"/>
      <c r="L209" s="6"/>
      <c r="M209" s="6"/>
      <c r="N209" s="6"/>
      <c r="O209" s="6"/>
      <c r="P209" s="6"/>
    </row>
    <row r="210" spans="1:16" ht="12.75">
      <c r="A210" s="5"/>
      <c r="B210" s="7"/>
      <c r="C210" s="5"/>
      <c r="D210" s="5"/>
      <c r="E210" s="5"/>
      <c r="F210" s="5"/>
      <c r="G210" s="5"/>
      <c r="H210" s="28"/>
      <c r="I210" s="6"/>
      <c r="J210" s="6"/>
      <c r="K210" s="6"/>
      <c r="L210" s="6"/>
      <c r="M210" s="6"/>
      <c r="N210" s="6"/>
      <c r="O210" s="6"/>
      <c r="P210" s="6"/>
    </row>
    <row r="211" spans="1:16" ht="12.75">
      <c r="A211" s="5"/>
      <c r="B211" s="7"/>
      <c r="C211" s="5"/>
      <c r="D211" s="5"/>
      <c r="E211" s="5"/>
      <c r="F211" s="5"/>
      <c r="G211" s="5"/>
      <c r="H211" s="28"/>
      <c r="I211" s="6"/>
      <c r="J211" s="6"/>
      <c r="K211" s="6"/>
      <c r="L211" s="6"/>
      <c r="M211" s="6"/>
      <c r="N211" s="6"/>
      <c r="O211" s="6"/>
      <c r="P211" s="6"/>
    </row>
    <row r="212" spans="1:16" ht="12.75">
      <c r="A212" s="5"/>
      <c r="B212" s="7"/>
      <c r="C212" s="5"/>
      <c r="D212" s="5"/>
      <c r="E212" s="5"/>
      <c r="F212" s="5"/>
      <c r="G212" s="5"/>
      <c r="H212" s="28" t="s">
        <v>176</v>
      </c>
      <c r="I212" s="6"/>
      <c r="J212" s="6"/>
      <c r="K212" s="6"/>
      <c r="L212" s="6"/>
      <c r="M212" s="6"/>
      <c r="N212" s="6"/>
      <c r="O212" s="6"/>
      <c r="P212" s="6"/>
    </row>
    <row r="213" spans="1:16" ht="12.75">
      <c r="A213" s="5"/>
      <c r="B213" s="7"/>
      <c r="C213" s="5"/>
      <c r="D213" s="5"/>
      <c r="E213" s="5"/>
      <c r="F213" s="5"/>
      <c r="G213" s="5"/>
      <c r="H213" s="28" t="s">
        <v>177</v>
      </c>
      <c r="I213" s="6"/>
      <c r="J213" s="6"/>
      <c r="K213" s="6"/>
      <c r="L213" s="6"/>
      <c r="M213" s="6"/>
      <c r="N213" s="6"/>
      <c r="O213" s="6"/>
      <c r="P213" s="6"/>
    </row>
    <row r="214" spans="1:16" ht="12.75">
      <c r="A214" s="5"/>
      <c r="B214" s="7"/>
      <c r="C214" s="5"/>
      <c r="D214" s="5"/>
      <c r="E214" s="5"/>
      <c r="F214" s="5"/>
      <c r="G214" s="5"/>
      <c r="H214" s="28" t="s">
        <v>178</v>
      </c>
      <c r="I214" s="6"/>
      <c r="J214" s="6"/>
      <c r="K214" s="6"/>
      <c r="L214" s="6"/>
      <c r="M214" s="6"/>
      <c r="N214" s="6"/>
      <c r="O214" s="6"/>
      <c r="P214" s="6"/>
    </row>
    <row r="215" spans="1:16" ht="12.75">
      <c r="A215" s="5"/>
      <c r="B215" s="7"/>
      <c r="C215" s="5"/>
      <c r="D215" s="5"/>
      <c r="E215" s="5"/>
      <c r="F215" s="5"/>
      <c r="G215" s="5"/>
      <c r="H215" s="241" t="s">
        <v>179</v>
      </c>
      <c r="I215" s="6"/>
      <c r="J215" s="6"/>
      <c r="K215" s="6"/>
      <c r="L215" s="6"/>
      <c r="M215" s="6"/>
      <c r="N215" s="6"/>
      <c r="O215" s="6"/>
      <c r="P215" s="6"/>
    </row>
    <row r="216" spans="1:16" ht="12.75">
      <c r="A216" s="5"/>
      <c r="B216" s="7"/>
      <c r="C216" s="5"/>
      <c r="D216" s="5"/>
      <c r="E216" s="5"/>
      <c r="F216" s="5"/>
      <c r="G216" s="5"/>
      <c r="H216" s="6"/>
      <c r="I216" s="6"/>
      <c r="J216" s="6"/>
      <c r="K216" s="6"/>
      <c r="L216" s="6"/>
      <c r="M216" s="6"/>
      <c r="N216" s="6"/>
      <c r="O216" s="6"/>
      <c r="P216" s="6"/>
    </row>
    <row r="217" spans="1:14" ht="12.75">
      <c r="A217" s="1"/>
      <c r="B217" s="4"/>
      <c r="C217" s="1"/>
      <c r="D217" s="1"/>
      <c r="E217" s="1"/>
      <c r="F217" s="1"/>
      <c r="G217" s="1"/>
      <c r="H217" s="6"/>
      <c r="I217" s="6"/>
      <c r="J217" s="6"/>
      <c r="K217" s="6"/>
      <c r="L217" s="6"/>
      <c r="M217" s="6"/>
      <c r="N217" s="6"/>
    </row>
    <row r="218" spans="1:14" ht="12.75">
      <c r="A218" s="1"/>
      <c r="B218" s="4"/>
      <c r="C218" s="1"/>
      <c r="D218" s="1"/>
      <c r="E218" s="1"/>
      <c r="F218" s="1"/>
      <c r="G218" s="1"/>
      <c r="H218" s="13">
        <f ca="1">TODAY()</f>
        <v>39700</v>
      </c>
      <c r="I218" s="6"/>
      <c r="J218" s="6"/>
      <c r="K218" s="6"/>
      <c r="L218" s="6"/>
      <c r="M218" s="6"/>
      <c r="N218" s="6"/>
    </row>
    <row r="219" spans="1:14" ht="12.75">
      <c r="A219" s="1"/>
      <c r="B219" s="4"/>
      <c r="C219" s="1"/>
      <c r="D219" s="1"/>
      <c r="E219" s="1"/>
      <c r="F219" s="1"/>
      <c r="G219" s="1"/>
      <c r="H219" s="6"/>
      <c r="I219" s="6"/>
      <c r="J219" s="6"/>
      <c r="K219" s="6"/>
      <c r="L219" s="6"/>
      <c r="M219" s="6"/>
      <c r="N219" s="6"/>
    </row>
    <row r="220" spans="1:14" ht="12.75">
      <c r="A220" s="1"/>
      <c r="B220" s="4"/>
      <c r="C220" s="1"/>
      <c r="D220" s="1"/>
      <c r="E220" s="1"/>
      <c r="F220" s="1"/>
      <c r="G220" s="1"/>
      <c r="H220" s="6"/>
      <c r="I220" s="6"/>
      <c r="J220" s="6"/>
      <c r="K220" s="6"/>
      <c r="L220" s="6"/>
      <c r="M220" s="6"/>
      <c r="N220" s="6"/>
    </row>
    <row r="221" spans="1:14" ht="12.75">
      <c r="A221" s="1"/>
      <c r="B221" s="4"/>
      <c r="C221" s="1"/>
      <c r="D221" s="1"/>
      <c r="E221" s="1"/>
      <c r="F221" s="1"/>
      <c r="G221" s="1"/>
      <c r="H221" s="6"/>
      <c r="I221" s="6"/>
      <c r="J221" s="6"/>
      <c r="K221" s="6"/>
      <c r="L221" s="6"/>
      <c r="M221" s="6"/>
      <c r="N221" s="6"/>
    </row>
    <row r="222" spans="1:14" ht="12.75">
      <c r="A222" s="1"/>
      <c r="B222" s="4"/>
      <c r="C222" s="1"/>
      <c r="D222" s="1"/>
      <c r="E222" s="1"/>
      <c r="F222" s="1"/>
      <c r="G222" s="1"/>
      <c r="H222" s="6"/>
      <c r="I222" s="6"/>
      <c r="J222" s="6"/>
      <c r="K222" s="6"/>
      <c r="L222" s="6"/>
      <c r="M222" s="6"/>
      <c r="N222" s="6"/>
    </row>
    <row r="223" spans="1:7" ht="12.75">
      <c r="A223" s="1"/>
      <c r="B223" s="4"/>
      <c r="C223" s="1"/>
      <c r="D223" s="1"/>
      <c r="E223" s="1"/>
      <c r="F223" s="1"/>
      <c r="G223" s="1"/>
    </row>
    <row r="224" spans="1:7" ht="12.75">
      <c r="A224" s="1"/>
      <c r="B224" s="4"/>
      <c r="C224" s="1"/>
      <c r="D224" s="1"/>
      <c r="E224" s="1"/>
      <c r="F224" s="1"/>
      <c r="G224" s="1"/>
    </row>
    <row r="225" spans="1:7" ht="12.75">
      <c r="A225" s="1"/>
      <c r="B225" s="4"/>
      <c r="C225" s="1"/>
      <c r="D225" s="1"/>
      <c r="E225" s="1"/>
      <c r="F225" s="1"/>
      <c r="G225" s="1"/>
    </row>
    <row r="226" spans="1:7" ht="12.75">
      <c r="A226" s="1"/>
      <c r="B226" s="4"/>
      <c r="C226" s="1"/>
      <c r="D226" s="1"/>
      <c r="E226" s="1"/>
      <c r="F226" s="1"/>
      <c r="G226" s="1"/>
    </row>
    <row r="227" spans="1:7" ht="12.75">
      <c r="A227" s="1"/>
      <c r="B227" s="4"/>
      <c r="C227" s="1"/>
      <c r="D227" s="1"/>
      <c r="E227" s="1"/>
      <c r="F227" s="1"/>
      <c r="G227" s="1"/>
    </row>
    <row r="228" spans="1:7" ht="12.75">
      <c r="A228" s="1"/>
      <c r="B228" s="4"/>
      <c r="C228" s="1"/>
      <c r="D228" s="1"/>
      <c r="E228" s="1"/>
      <c r="F228" s="1"/>
      <c r="G228" s="1"/>
    </row>
    <row r="229" spans="1:7" ht="12.75">
      <c r="A229" s="1"/>
      <c r="B229" s="4"/>
      <c r="C229" s="1"/>
      <c r="D229" s="1"/>
      <c r="E229" s="1"/>
      <c r="F229" s="1"/>
      <c r="G229" s="1"/>
    </row>
    <row r="230" spans="1:7" ht="12.75">
      <c r="A230" s="1"/>
      <c r="B230" s="4"/>
      <c r="C230" s="1"/>
      <c r="D230" s="1"/>
      <c r="E230" s="1"/>
      <c r="F230" s="1"/>
      <c r="G230" s="1"/>
    </row>
    <row r="231" spans="1:7" ht="12.75">
      <c r="A231" s="1"/>
      <c r="B231" s="4"/>
      <c r="C231" s="1"/>
      <c r="D231" s="1"/>
      <c r="E231" s="1"/>
      <c r="F231" s="1"/>
      <c r="G231" s="1"/>
    </row>
    <row r="232" spans="1:7" ht="12.75">
      <c r="A232" s="1"/>
      <c r="B232" s="4"/>
      <c r="C232" s="1"/>
      <c r="D232" s="1"/>
      <c r="E232" s="1"/>
      <c r="F232" s="1"/>
      <c r="G232" s="1"/>
    </row>
    <row r="233" spans="1:7" ht="12.75">
      <c r="A233" s="1"/>
      <c r="B233" s="4"/>
      <c r="C233" s="1"/>
      <c r="D233" s="1"/>
      <c r="E233" s="1"/>
      <c r="F233" s="1"/>
      <c r="G233" s="1"/>
    </row>
    <row r="234" spans="1:7" ht="12.75">
      <c r="A234" s="1"/>
      <c r="B234" s="4"/>
      <c r="C234" s="1"/>
      <c r="D234" s="1"/>
      <c r="E234" s="1"/>
      <c r="F234" s="1"/>
      <c r="G234" s="1"/>
    </row>
    <row r="235" spans="1:7" ht="12.75">
      <c r="A235" s="1"/>
      <c r="B235" s="4"/>
      <c r="C235" s="1"/>
      <c r="D235" s="1"/>
      <c r="E235" s="1"/>
      <c r="F235" s="1"/>
      <c r="G235" s="1"/>
    </row>
    <row r="236" spans="1:7" ht="12.75">
      <c r="A236" s="1"/>
      <c r="B236" s="4"/>
      <c r="C236" s="1"/>
      <c r="D236" s="1"/>
      <c r="E236" s="1"/>
      <c r="F236" s="1"/>
      <c r="G236" s="1"/>
    </row>
    <row r="237" spans="1:7" ht="12.75">
      <c r="A237" s="1"/>
      <c r="B237" s="4"/>
      <c r="C237" s="1"/>
      <c r="D237" s="1"/>
      <c r="E237" s="1"/>
      <c r="F237" s="1"/>
      <c r="G237" s="1"/>
    </row>
    <row r="238" spans="1:7" ht="12.75">
      <c r="A238" s="1"/>
      <c r="B238" s="4"/>
      <c r="C238" s="1"/>
      <c r="D238" s="1"/>
      <c r="E238" s="1"/>
      <c r="F238" s="1"/>
      <c r="G238" s="1"/>
    </row>
    <row r="239" spans="1:7" ht="12.75">
      <c r="A239" s="1"/>
      <c r="B239" s="4"/>
      <c r="C239" s="1"/>
      <c r="D239" s="1"/>
      <c r="E239" s="1"/>
      <c r="F239" s="1"/>
      <c r="G239" s="1"/>
    </row>
    <row r="240" spans="1:7" ht="12.75">
      <c r="A240" s="1"/>
      <c r="B240" s="4"/>
      <c r="C240" s="1"/>
      <c r="D240" s="1"/>
      <c r="E240" s="1"/>
      <c r="F240" s="1"/>
      <c r="G240" s="1"/>
    </row>
    <row r="241" spans="1:7" ht="12.75">
      <c r="A241" s="1"/>
      <c r="B241" s="4"/>
      <c r="C241" s="1"/>
      <c r="D241" s="1"/>
      <c r="E241" s="1"/>
      <c r="F241" s="1"/>
      <c r="G241" s="1"/>
    </row>
    <row r="242" spans="1:7" ht="12.75">
      <c r="A242" s="1"/>
      <c r="B242" s="4"/>
      <c r="C242" s="1"/>
      <c r="D242" s="1"/>
      <c r="E242" s="1"/>
      <c r="F242" s="1"/>
      <c r="G242" s="1"/>
    </row>
    <row r="243" spans="1:7" ht="12.75">
      <c r="A243" s="1"/>
      <c r="B243" s="4"/>
      <c r="C243" s="1"/>
      <c r="D243" s="1"/>
      <c r="E243" s="1"/>
      <c r="F243" s="1"/>
      <c r="G243" s="1"/>
    </row>
    <row r="244" spans="1:7" ht="12.75">
      <c r="A244" s="1"/>
      <c r="B244" s="4"/>
      <c r="C244" s="1"/>
      <c r="D244" s="1"/>
      <c r="E244" s="1"/>
      <c r="F244" s="1"/>
      <c r="G244" s="1"/>
    </row>
    <row r="245" spans="1:7" ht="12.75">
      <c r="A245" s="1"/>
      <c r="B245" s="4"/>
      <c r="C245" s="1"/>
      <c r="D245" s="1"/>
      <c r="E245" s="1"/>
      <c r="F245" s="1"/>
      <c r="G245" s="1"/>
    </row>
    <row r="246" spans="1:7" ht="12.75">
      <c r="A246" s="1"/>
      <c r="B246" s="4"/>
      <c r="C246" s="1"/>
      <c r="D246" s="1"/>
      <c r="E246" s="1"/>
      <c r="F246" s="1"/>
      <c r="G246" s="1"/>
    </row>
    <row r="247" spans="1:7" ht="12.75">
      <c r="A247" s="1"/>
      <c r="B247" s="4"/>
      <c r="C247" s="1"/>
      <c r="D247" s="1"/>
      <c r="E247" s="1"/>
      <c r="F247" s="1"/>
      <c r="G247" s="1"/>
    </row>
    <row r="248" spans="1:7" ht="12.75">
      <c r="A248" s="1"/>
      <c r="B248" s="4"/>
      <c r="C248" s="1"/>
      <c r="D248" s="1"/>
      <c r="E248" s="1"/>
      <c r="F248" s="1"/>
      <c r="G248" s="1"/>
    </row>
    <row r="249" spans="1:7" ht="12.75">
      <c r="A249" s="1"/>
      <c r="B249" s="4"/>
      <c r="C249" s="1"/>
      <c r="D249" s="1"/>
      <c r="E249" s="1"/>
      <c r="F249" s="1"/>
      <c r="G249" s="1"/>
    </row>
    <row r="250" spans="1:7" ht="12.75">
      <c r="A250" s="1"/>
      <c r="B250" s="4"/>
      <c r="C250" s="1"/>
      <c r="D250" s="1"/>
      <c r="E250" s="1"/>
      <c r="F250" s="1"/>
      <c r="G250" s="1"/>
    </row>
    <row r="251" spans="1:7" ht="12.75">
      <c r="A251" s="1"/>
      <c r="B251" s="4"/>
      <c r="C251" s="1"/>
      <c r="D251" s="1"/>
      <c r="E251" s="1"/>
      <c r="F251" s="1"/>
      <c r="G251" s="1"/>
    </row>
    <row r="252" spans="1:7" ht="12.75">
      <c r="A252" s="1"/>
      <c r="B252" s="4"/>
      <c r="C252" s="1"/>
      <c r="D252" s="1"/>
      <c r="E252" s="1"/>
      <c r="F252" s="1"/>
      <c r="G252" s="1"/>
    </row>
    <row r="253" spans="1:7" ht="12.75">
      <c r="A253" s="1"/>
      <c r="B253" s="4"/>
      <c r="C253" s="1"/>
      <c r="D253" s="1"/>
      <c r="E253" s="1"/>
      <c r="F253" s="1"/>
      <c r="G253" s="1"/>
    </row>
    <row r="254" spans="1:7" ht="12.75">
      <c r="A254" s="1"/>
      <c r="B254" s="4"/>
      <c r="C254" s="1"/>
      <c r="D254" s="1"/>
      <c r="E254" s="1"/>
      <c r="F254" s="1"/>
      <c r="G254" s="1"/>
    </row>
    <row r="255" spans="1:7" ht="12.75">
      <c r="A255" s="1"/>
      <c r="B255" s="4"/>
      <c r="C255" s="1"/>
      <c r="D255" s="1"/>
      <c r="E255" s="1"/>
      <c r="F255" s="1"/>
      <c r="G255" s="1"/>
    </row>
    <row r="256" spans="1:7" ht="12.75">
      <c r="A256" s="1"/>
      <c r="B256" s="4"/>
      <c r="C256" s="1"/>
      <c r="D256" s="1"/>
      <c r="E256" s="1"/>
      <c r="F256" s="1"/>
      <c r="G256" s="1"/>
    </row>
    <row r="257" spans="1:7" ht="12.75">
      <c r="A257" s="1"/>
      <c r="B257" s="4"/>
      <c r="C257" s="1"/>
      <c r="D257" s="1"/>
      <c r="E257" s="1"/>
      <c r="F257" s="1"/>
      <c r="G257" s="1"/>
    </row>
    <row r="258" spans="1:7" ht="12.75">
      <c r="A258" s="1"/>
      <c r="B258" s="4"/>
      <c r="C258" s="1"/>
      <c r="D258" s="1"/>
      <c r="E258" s="1"/>
      <c r="F258" s="1"/>
      <c r="G258" s="1"/>
    </row>
    <row r="259" spans="1:7" ht="12.75">
      <c r="A259" s="1"/>
      <c r="B259" s="4"/>
      <c r="C259" s="1"/>
      <c r="D259" s="1"/>
      <c r="E259" s="1"/>
      <c r="F259" s="1"/>
      <c r="G259" s="1"/>
    </row>
    <row r="260" spans="1:7" ht="12.75">
      <c r="A260" s="1"/>
      <c r="B260" s="4"/>
      <c r="C260" s="1"/>
      <c r="D260" s="1"/>
      <c r="E260" s="1"/>
      <c r="F260" s="1"/>
      <c r="G260" s="1"/>
    </row>
    <row r="261" spans="1:7" ht="12.75">
      <c r="A261" s="1"/>
      <c r="B261" s="4"/>
      <c r="C261" s="1"/>
      <c r="D261" s="1"/>
      <c r="E261" s="1"/>
      <c r="F261" s="1"/>
      <c r="G261" s="1"/>
    </row>
    <row r="262" spans="1:7" ht="12.75">
      <c r="A262" s="1"/>
      <c r="B262" s="4"/>
      <c r="C262" s="1"/>
      <c r="D262" s="1"/>
      <c r="E262" s="1"/>
      <c r="F262" s="1"/>
      <c r="G262" s="1"/>
    </row>
    <row r="263" spans="1:7" ht="12.75">
      <c r="A263" s="1"/>
      <c r="B263" s="4"/>
      <c r="C263" s="1"/>
      <c r="D263" s="1"/>
      <c r="E263" s="1"/>
      <c r="F263" s="1"/>
      <c r="G263" s="1"/>
    </row>
    <row r="264" spans="1:7" ht="12.75">
      <c r="A264" s="1"/>
      <c r="B264" s="4"/>
      <c r="C264" s="1"/>
      <c r="D264" s="1"/>
      <c r="E264" s="1"/>
      <c r="F264" s="1"/>
      <c r="G264" s="1"/>
    </row>
    <row r="265" spans="1:7" ht="12.75">
      <c r="A265" s="1"/>
      <c r="B265" s="4"/>
      <c r="C265" s="1"/>
      <c r="D265" s="1"/>
      <c r="E265" s="1"/>
      <c r="F265" s="1"/>
      <c r="G265" s="1"/>
    </row>
    <row r="266" spans="1:7" ht="12.75">
      <c r="A266" s="1"/>
      <c r="B266" s="4"/>
      <c r="C266" s="1"/>
      <c r="D266" s="1"/>
      <c r="E266" s="1"/>
      <c r="F266" s="1"/>
      <c r="G266" s="1"/>
    </row>
    <row r="267" spans="1:7" ht="12.75">
      <c r="A267" s="1"/>
      <c r="B267" s="4"/>
      <c r="C267" s="1"/>
      <c r="D267" s="1"/>
      <c r="E267" s="1"/>
      <c r="F267" s="1"/>
      <c r="G267" s="1"/>
    </row>
    <row r="268" spans="1:7" ht="12.75">
      <c r="A268" s="1"/>
      <c r="B268" s="4"/>
      <c r="C268" s="1"/>
      <c r="D268" s="1"/>
      <c r="E268" s="1"/>
      <c r="F268" s="1"/>
      <c r="G268" s="1"/>
    </row>
    <row r="269" spans="1:7" ht="12.75">
      <c r="A269" s="1"/>
      <c r="B269" s="4"/>
      <c r="C269" s="1"/>
      <c r="D269" s="1"/>
      <c r="E269" s="1"/>
      <c r="F269" s="1"/>
      <c r="G269" s="1"/>
    </row>
    <row r="270" spans="1:7" ht="12.75">
      <c r="A270" s="1"/>
      <c r="B270" s="4"/>
      <c r="C270" s="1"/>
      <c r="D270" s="1"/>
      <c r="E270" s="1"/>
      <c r="F270" s="1"/>
      <c r="G270" s="1"/>
    </row>
    <row r="271" spans="1:7" ht="12.75">
      <c r="A271" s="1"/>
      <c r="B271" s="4"/>
      <c r="C271" s="1"/>
      <c r="D271" s="1"/>
      <c r="E271" s="1"/>
      <c r="F271" s="1"/>
      <c r="G271" s="1"/>
    </row>
    <row r="272" spans="1:7" ht="12.75">
      <c r="A272" s="1"/>
      <c r="B272" s="4"/>
      <c r="C272" s="1"/>
      <c r="D272" s="1"/>
      <c r="E272" s="1"/>
      <c r="F272" s="1"/>
      <c r="G272" s="1"/>
    </row>
    <row r="273" spans="1:7" ht="12.75">
      <c r="A273" s="1"/>
      <c r="B273" s="4"/>
      <c r="C273" s="1"/>
      <c r="D273" s="1"/>
      <c r="E273" s="1"/>
      <c r="F273" s="1"/>
      <c r="G273" s="1"/>
    </row>
    <row r="274" spans="1:7" ht="12.75">
      <c r="A274" s="1"/>
      <c r="B274" s="4"/>
      <c r="C274" s="1"/>
      <c r="D274" s="1"/>
      <c r="E274" s="1"/>
      <c r="F274" s="1"/>
      <c r="G274" s="1"/>
    </row>
    <row r="275" spans="1:7" ht="12.75">
      <c r="A275" s="1"/>
      <c r="B275" s="4"/>
      <c r="C275" s="1"/>
      <c r="D275" s="1"/>
      <c r="E275" s="1"/>
      <c r="F275" s="1"/>
      <c r="G275" s="1"/>
    </row>
    <row r="276" spans="1:7" ht="12.75">
      <c r="A276" s="1"/>
      <c r="B276" s="4"/>
      <c r="C276" s="1"/>
      <c r="D276" s="1"/>
      <c r="E276" s="1"/>
      <c r="F276" s="1"/>
      <c r="G276" s="1"/>
    </row>
    <row r="277" spans="1:7" ht="12.75">
      <c r="A277" s="1"/>
      <c r="B277" s="4"/>
      <c r="C277" s="1"/>
      <c r="D277" s="1"/>
      <c r="E277" s="1"/>
      <c r="F277" s="1"/>
      <c r="G277" s="1"/>
    </row>
    <row r="278" spans="1:7" ht="12.75">
      <c r="A278" s="1"/>
      <c r="B278" s="4"/>
      <c r="C278" s="1"/>
      <c r="D278" s="1"/>
      <c r="E278" s="1"/>
      <c r="F278" s="1"/>
      <c r="G278" s="1"/>
    </row>
    <row r="279" spans="1:7" ht="12.75">
      <c r="A279" s="1"/>
      <c r="B279" s="4"/>
      <c r="C279" s="1"/>
      <c r="D279" s="1"/>
      <c r="E279" s="1"/>
      <c r="F279" s="1"/>
      <c r="G279" s="1"/>
    </row>
    <row r="280" spans="1:7" ht="12.75">
      <c r="A280" s="1"/>
      <c r="B280" s="4"/>
      <c r="C280" s="1"/>
      <c r="D280" s="1"/>
      <c r="E280" s="1"/>
      <c r="F280" s="1"/>
      <c r="G280" s="1"/>
    </row>
    <row r="281" spans="1:7" ht="12.75">
      <c r="A281" s="1"/>
      <c r="B281" s="4"/>
      <c r="C281" s="1"/>
      <c r="D281" s="1"/>
      <c r="E281" s="1"/>
      <c r="F281" s="1"/>
      <c r="G281" s="1"/>
    </row>
    <row r="282" spans="1:7" ht="12.75">
      <c r="A282" s="1"/>
      <c r="B282" s="4"/>
      <c r="C282" s="1"/>
      <c r="D282" s="1"/>
      <c r="E282" s="1"/>
      <c r="F282" s="1"/>
      <c r="G282" s="1"/>
    </row>
    <row r="283" spans="1:7" ht="12.75">
      <c r="A283" s="1"/>
      <c r="B283" s="4"/>
      <c r="C283" s="1"/>
      <c r="D283" s="1"/>
      <c r="E283" s="1"/>
      <c r="F283" s="1"/>
      <c r="G283" s="1"/>
    </row>
    <row r="284" spans="1:7" ht="12.75">
      <c r="A284" s="1"/>
      <c r="B284" s="4"/>
      <c r="C284" s="1"/>
      <c r="D284" s="1"/>
      <c r="E284" s="1"/>
      <c r="F284" s="1"/>
      <c r="G284" s="1"/>
    </row>
    <row r="285" spans="1:7" ht="12.75">
      <c r="A285" s="1"/>
      <c r="B285" s="4"/>
      <c r="C285" s="1"/>
      <c r="D285" s="1"/>
      <c r="E285" s="1"/>
      <c r="F285" s="1"/>
      <c r="G285" s="1"/>
    </row>
    <row r="286" spans="1:7" ht="12.75">
      <c r="A286" s="1"/>
      <c r="B286" s="4"/>
      <c r="C286" s="1"/>
      <c r="D286" s="1"/>
      <c r="E286" s="1"/>
      <c r="F286" s="1"/>
      <c r="G286" s="1"/>
    </row>
    <row r="287" spans="1:7" ht="12.75">
      <c r="A287" s="1"/>
      <c r="B287" s="4"/>
      <c r="C287" s="1"/>
      <c r="D287" s="1"/>
      <c r="E287" s="1"/>
      <c r="F287" s="1"/>
      <c r="G287" s="1"/>
    </row>
    <row r="288" spans="1:7" ht="12.75">
      <c r="A288" s="1"/>
      <c r="B288" s="4"/>
      <c r="C288" s="1"/>
      <c r="D288" s="1"/>
      <c r="E288" s="1"/>
      <c r="F288" s="1"/>
      <c r="G288" s="1"/>
    </row>
    <row r="289" spans="1:7" ht="12.75">
      <c r="A289" s="1"/>
      <c r="B289" s="4"/>
      <c r="C289" s="1"/>
      <c r="D289" s="1"/>
      <c r="E289" s="1"/>
      <c r="F289" s="1"/>
      <c r="G289" s="1"/>
    </row>
    <row r="290" spans="1:7" ht="12.75">
      <c r="A290" s="1"/>
      <c r="B290" s="4"/>
      <c r="C290" s="1"/>
      <c r="D290" s="1"/>
      <c r="E290" s="1"/>
      <c r="F290" s="1"/>
      <c r="G290" s="1"/>
    </row>
    <row r="291" spans="1:7" ht="12.75">
      <c r="A291" s="1"/>
      <c r="B291" s="4"/>
      <c r="C291" s="1"/>
      <c r="D291" s="1"/>
      <c r="E291" s="1"/>
      <c r="F291" s="1"/>
      <c r="G291" s="1"/>
    </row>
    <row r="292" spans="1:7" ht="12.75">
      <c r="A292" s="1"/>
      <c r="B292" s="4"/>
      <c r="C292" s="1"/>
      <c r="D292" s="1"/>
      <c r="E292" s="1"/>
      <c r="F292" s="1"/>
      <c r="G292" s="1"/>
    </row>
    <row r="293" spans="1:7" ht="12.75">
      <c r="A293" s="1"/>
      <c r="B293" s="4"/>
      <c r="C293" s="1"/>
      <c r="D293" s="1"/>
      <c r="E293" s="1"/>
      <c r="F293" s="1"/>
      <c r="G293" s="1"/>
    </row>
    <row r="294" spans="1:7" ht="12.75">
      <c r="A294" s="1"/>
      <c r="B294" s="4"/>
      <c r="C294" s="1"/>
      <c r="D294" s="1"/>
      <c r="E294" s="1"/>
      <c r="F294" s="1"/>
      <c r="G294" s="1"/>
    </row>
    <row r="295" spans="1:7" ht="12.75">
      <c r="A295" s="1"/>
      <c r="B295" s="4"/>
      <c r="C295" s="1"/>
      <c r="D295" s="1"/>
      <c r="E295" s="1"/>
      <c r="F295" s="1"/>
      <c r="G295" s="1"/>
    </row>
    <row r="296" spans="1:7" ht="12.75">
      <c r="A296" s="1"/>
      <c r="B296" s="4"/>
      <c r="C296" s="1"/>
      <c r="D296" s="1"/>
      <c r="E296" s="1"/>
      <c r="F296" s="1"/>
      <c r="G296" s="1"/>
    </row>
    <row r="297" spans="1:7" ht="12.75">
      <c r="A297" s="1"/>
      <c r="B297" s="4"/>
      <c r="C297" s="1"/>
      <c r="D297" s="1"/>
      <c r="E297" s="1"/>
      <c r="F297" s="1"/>
      <c r="G297" s="1"/>
    </row>
    <row r="298" spans="1:7" ht="12.75">
      <c r="A298" s="1"/>
      <c r="B298" s="4"/>
      <c r="C298" s="1"/>
      <c r="D298" s="1"/>
      <c r="E298" s="1"/>
      <c r="F298" s="1"/>
      <c r="G298" s="1"/>
    </row>
    <row r="299" spans="1:7" ht="12.75">
      <c r="A299" s="1"/>
      <c r="B299" s="4"/>
      <c r="C299" s="1"/>
      <c r="D299" s="1"/>
      <c r="E299" s="1"/>
      <c r="F299" s="1"/>
      <c r="G299" s="1"/>
    </row>
    <row r="300" spans="1:7" ht="12.75">
      <c r="A300" s="1"/>
      <c r="B300" s="4"/>
      <c r="C300" s="1"/>
      <c r="D300" s="1"/>
      <c r="E300" s="1"/>
      <c r="F300" s="1"/>
      <c r="G300" s="1"/>
    </row>
    <row r="301" spans="1:7" ht="12.75">
      <c r="A301" s="1"/>
      <c r="B301" s="4"/>
      <c r="C301" s="1"/>
      <c r="D301" s="1"/>
      <c r="E301" s="1"/>
      <c r="F301" s="1"/>
      <c r="G301" s="1"/>
    </row>
    <row r="302" spans="1:7" ht="12.75">
      <c r="A302" s="1"/>
      <c r="B302" s="4"/>
      <c r="C302" s="1"/>
      <c r="D302" s="1"/>
      <c r="E302" s="1"/>
      <c r="F302" s="1"/>
      <c r="G302" s="1"/>
    </row>
    <row r="303" spans="1:7" ht="12.75">
      <c r="A303" s="1"/>
      <c r="B303" s="4"/>
      <c r="C303" s="1"/>
      <c r="D303" s="1"/>
      <c r="E303" s="1"/>
      <c r="F303" s="1"/>
      <c r="G303" s="1"/>
    </row>
    <row r="304" spans="1:7" ht="12.75">
      <c r="A304" s="1"/>
      <c r="B304" s="4"/>
      <c r="C304" s="1"/>
      <c r="D304" s="1"/>
      <c r="E304" s="1"/>
      <c r="F304" s="1"/>
      <c r="G304" s="1"/>
    </row>
    <row r="305" spans="1:7" ht="12.75">
      <c r="A305" s="1"/>
      <c r="B305" s="4"/>
      <c r="C305" s="1"/>
      <c r="D305" s="1"/>
      <c r="E305" s="1"/>
      <c r="F305" s="1"/>
      <c r="G305" s="1"/>
    </row>
    <row r="306" spans="1:7" ht="12.75">
      <c r="A306" s="1"/>
      <c r="B306" s="4"/>
      <c r="C306" s="1"/>
      <c r="D306" s="1"/>
      <c r="E306" s="1"/>
      <c r="F306" s="1"/>
      <c r="G306" s="1"/>
    </row>
    <row r="307" spans="1:7" ht="12.75">
      <c r="A307" s="1"/>
      <c r="B307" s="4"/>
      <c r="C307" s="1"/>
      <c r="D307" s="1"/>
      <c r="E307" s="1"/>
      <c r="F307" s="1"/>
      <c r="G307" s="1"/>
    </row>
    <row r="308" spans="1:7" ht="12.75">
      <c r="A308" s="1"/>
      <c r="B308" s="4"/>
      <c r="C308" s="1"/>
      <c r="D308" s="1"/>
      <c r="E308" s="1"/>
      <c r="F308" s="1"/>
      <c r="G308" s="1"/>
    </row>
    <row r="309" spans="1:7" ht="12.75">
      <c r="A309" s="1"/>
      <c r="B309" s="4"/>
      <c r="C309" s="1"/>
      <c r="D309" s="1"/>
      <c r="E309" s="1"/>
      <c r="F309" s="1"/>
      <c r="G309" s="1"/>
    </row>
    <row r="310" spans="1:7" ht="12.75">
      <c r="A310" s="1"/>
      <c r="B310" s="4"/>
      <c r="C310" s="1"/>
      <c r="D310" s="1"/>
      <c r="E310" s="1"/>
      <c r="F310" s="1"/>
      <c r="G310" s="1"/>
    </row>
    <row r="311" spans="1:7" ht="12.75">
      <c r="A311" s="1"/>
      <c r="B311" s="4"/>
      <c r="C311" s="1"/>
      <c r="D311" s="1"/>
      <c r="E311" s="1"/>
      <c r="F311" s="1"/>
      <c r="G311" s="1"/>
    </row>
    <row r="312" spans="1:7" ht="12.75">
      <c r="A312" s="1"/>
      <c r="B312" s="4"/>
      <c r="C312" s="1"/>
      <c r="D312" s="1"/>
      <c r="E312" s="1"/>
      <c r="F312" s="1"/>
      <c r="G312" s="1"/>
    </row>
    <row r="313" spans="1:7" ht="12.75">
      <c r="A313" s="1"/>
      <c r="B313" s="4"/>
      <c r="C313" s="1"/>
      <c r="D313" s="1"/>
      <c r="E313" s="1"/>
      <c r="F313" s="1"/>
      <c r="G313" s="1"/>
    </row>
    <row r="314" spans="1:7" ht="12.75">
      <c r="A314" s="1"/>
      <c r="B314" s="4"/>
      <c r="C314" s="1"/>
      <c r="D314" s="1"/>
      <c r="E314" s="1"/>
      <c r="F314" s="1"/>
      <c r="G314" s="1"/>
    </row>
    <row r="315" spans="1:7" ht="12.75">
      <c r="A315" s="1"/>
      <c r="B315" s="4"/>
      <c r="C315" s="1"/>
      <c r="D315" s="1"/>
      <c r="E315" s="1"/>
      <c r="F315" s="1"/>
      <c r="G315" s="1"/>
    </row>
    <row r="316" spans="1:7" ht="12.75">
      <c r="A316" s="1"/>
      <c r="B316" s="4"/>
      <c r="C316" s="1"/>
      <c r="D316" s="1"/>
      <c r="E316" s="1"/>
      <c r="F316" s="1"/>
      <c r="G316" s="1"/>
    </row>
    <row r="317" spans="1:7" ht="12.75">
      <c r="A317" s="1"/>
      <c r="B317" s="4"/>
      <c r="C317" s="1"/>
      <c r="D317" s="1"/>
      <c r="E317" s="1"/>
      <c r="F317" s="1"/>
      <c r="G317" s="1"/>
    </row>
    <row r="318" spans="1:7" ht="12.75">
      <c r="A318" s="1"/>
      <c r="B318" s="4"/>
      <c r="C318" s="1"/>
      <c r="D318" s="1"/>
      <c r="E318" s="1"/>
      <c r="F318" s="1"/>
      <c r="G318" s="1"/>
    </row>
    <row r="319" spans="1:7" ht="12.75">
      <c r="A319" s="1"/>
      <c r="B319" s="4"/>
      <c r="C319" s="1"/>
      <c r="D319" s="1"/>
      <c r="E319" s="1"/>
      <c r="F319" s="1"/>
      <c r="G319" s="1"/>
    </row>
    <row r="320" spans="1:7" ht="12.75">
      <c r="A320" s="1"/>
      <c r="B320" s="4"/>
      <c r="C320" s="1"/>
      <c r="D320" s="1"/>
      <c r="E320" s="1"/>
      <c r="F320" s="1"/>
      <c r="G320" s="1"/>
    </row>
    <row r="321" spans="1:7" ht="12.75">
      <c r="A321" s="1"/>
      <c r="B321" s="4"/>
      <c r="C321" s="1"/>
      <c r="D321" s="1"/>
      <c r="E321" s="1"/>
      <c r="F321" s="1"/>
      <c r="G321" s="1"/>
    </row>
    <row r="322" spans="1:7" ht="12.75">
      <c r="A322" s="1"/>
      <c r="B322" s="4"/>
      <c r="C322" s="1"/>
      <c r="D322" s="1"/>
      <c r="E322" s="1"/>
      <c r="F322" s="1"/>
      <c r="G322" s="1"/>
    </row>
    <row r="323" spans="1:7" ht="12.75">
      <c r="A323" s="1"/>
      <c r="B323" s="4"/>
      <c r="C323" s="1"/>
      <c r="D323" s="1"/>
      <c r="E323" s="1"/>
      <c r="F323" s="1"/>
      <c r="G323" s="1"/>
    </row>
    <row r="324" spans="1:7" ht="12.75">
      <c r="A324" s="1"/>
      <c r="B324" s="4"/>
      <c r="C324" s="1"/>
      <c r="D324" s="1"/>
      <c r="E324" s="1"/>
      <c r="F324" s="1"/>
      <c r="G324" s="1"/>
    </row>
    <row r="325" spans="1:7" ht="12.75">
      <c r="A325" s="1"/>
      <c r="B325" s="4"/>
      <c r="C325" s="1"/>
      <c r="D325" s="1"/>
      <c r="E325" s="1"/>
      <c r="F325" s="1"/>
      <c r="G325" s="1"/>
    </row>
    <row r="326" spans="1:7" ht="12.75">
      <c r="A326" s="1"/>
      <c r="B326" s="4"/>
      <c r="C326" s="1"/>
      <c r="D326" s="1"/>
      <c r="E326" s="1"/>
      <c r="F326" s="1"/>
      <c r="G326" s="1"/>
    </row>
    <row r="327" spans="1:7" ht="12.75">
      <c r="A327" s="1"/>
      <c r="B327" s="4"/>
      <c r="C327" s="1"/>
      <c r="D327" s="1"/>
      <c r="E327" s="1"/>
      <c r="F327" s="1"/>
      <c r="G327" s="1"/>
    </row>
    <row r="328" spans="1:7" ht="12.75">
      <c r="A328" s="1"/>
      <c r="B328" s="4"/>
      <c r="C328" s="1"/>
      <c r="D328" s="1"/>
      <c r="E328" s="1"/>
      <c r="F328" s="1"/>
      <c r="G328" s="1"/>
    </row>
    <row r="329" spans="1:7" ht="12.75">
      <c r="A329" s="1"/>
      <c r="B329" s="4"/>
      <c r="C329" s="1"/>
      <c r="D329" s="1"/>
      <c r="E329" s="1"/>
      <c r="F329" s="1"/>
      <c r="G329" s="1"/>
    </row>
    <row r="330" spans="1:7" ht="12.75">
      <c r="A330" s="1"/>
      <c r="B330" s="4"/>
      <c r="C330" s="1"/>
      <c r="D330" s="1"/>
      <c r="E330" s="1"/>
      <c r="F330" s="1"/>
      <c r="G330" s="1"/>
    </row>
    <row r="331" spans="1:7" ht="12.75">
      <c r="A331" s="1"/>
      <c r="B331" s="4"/>
      <c r="C331" s="1"/>
      <c r="D331" s="1"/>
      <c r="E331" s="1"/>
      <c r="F331" s="1"/>
      <c r="G331" s="1"/>
    </row>
    <row r="332" spans="1:7" ht="12.75">
      <c r="A332" s="1"/>
      <c r="B332" s="4"/>
      <c r="C332" s="1"/>
      <c r="D332" s="1"/>
      <c r="E332" s="1"/>
      <c r="F332" s="1"/>
      <c r="G332" s="1"/>
    </row>
    <row r="333" spans="1:7" ht="12.75">
      <c r="A333" s="1"/>
      <c r="B333" s="4"/>
      <c r="C333" s="1"/>
      <c r="D333" s="1"/>
      <c r="E333" s="1"/>
      <c r="F333" s="1"/>
      <c r="G333" s="1"/>
    </row>
    <row r="334" spans="1:7" ht="12.75">
      <c r="A334" s="1"/>
      <c r="B334" s="4"/>
      <c r="C334" s="1"/>
      <c r="D334" s="1"/>
      <c r="E334" s="1"/>
      <c r="F334" s="1"/>
      <c r="G334" s="1"/>
    </row>
    <row r="335" spans="1:7" ht="12.75">
      <c r="A335" s="1"/>
      <c r="B335" s="4"/>
      <c r="C335" s="1"/>
      <c r="D335" s="1"/>
      <c r="E335" s="1"/>
      <c r="F335" s="1"/>
      <c r="G335" s="1"/>
    </row>
    <row r="336" spans="1:7" ht="12.75">
      <c r="A336" s="1"/>
      <c r="B336" s="4"/>
      <c r="C336" s="1"/>
      <c r="D336" s="1"/>
      <c r="E336" s="1"/>
      <c r="F336" s="1"/>
      <c r="G336" s="1"/>
    </row>
    <row r="337" spans="1:7" ht="12.75">
      <c r="A337" s="1"/>
      <c r="B337" s="4"/>
      <c r="C337" s="1"/>
      <c r="D337" s="1"/>
      <c r="E337" s="1"/>
      <c r="F337" s="1"/>
      <c r="G337" s="1"/>
    </row>
    <row r="338" spans="1:7" ht="12.75">
      <c r="A338" s="1"/>
      <c r="B338" s="4"/>
      <c r="C338" s="1"/>
      <c r="D338" s="1"/>
      <c r="E338" s="1"/>
      <c r="F338" s="1"/>
      <c r="G338" s="1"/>
    </row>
    <row r="339" spans="1:7" ht="12.75">
      <c r="A339" s="1"/>
      <c r="B339" s="4"/>
      <c r="C339" s="1"/>
      <c r="D339" s="1"/>
      <c r="E339" s="1"/>
      <c r="F339" s="1"/>
      <c r="G339" s="1"/>
    </row>
    <row r="340" spans="1:7" ht="12.75">
      <c r="A340" s="1"/>
      <c r="B340" s="4"/>
      <c r="C340" s="1"/>
      <c r="D340" s="1"/>
      <c r="E340" s="1"/>
      <c r="F340" s="1"/>
      <c r="G340" s="1"/>
    </row>
    <row r="341" spans="1:7" ht="12.75">
      <c r="A341" s="1"/>
      <c r="B341" s="4"/>
      <c r="C341" s="1"/>
      <c r="D341" s="1"/>
      <c r="E341" s="1"/>
      <c r="F341" s="1"/>
      <c r="G341" s="1"/>
    </row>
    <row r="342" spans="1:7" ht="12.75">
      <c r="A342" s="1"/>
      <c r="B342" s="4"/>
      <c r="C342" s="1"/>
      <c r="D342" s="1"/>
      <c r="E342" s="1"/>
      <c r="F342" s="1"/>
      <c r="G342" s="1"/>
    </row>
    <row r="343" spans="1:7" ht="12.75">
      <c r="A343" s="1"/>
      <c r="B343" s="4"/>
      <c r="C343" s="1"/>
      <c r="D343" s="1"/>
      <c r="E343" s="1"/>
      <c r="F343" s="1"/>
      <c r="G343" s="1"/>
    </row>
    <row r="344" spans="1:7" ht="12.75">
      <c r="A344" s="1"/>
      <c r="B344" s="4"/>
      <c r="C344" s="1"/>
      <c r="D344" s="1"/>
      <c r="E344" s="1"/>
      <c r="F344" s="1"/>
      <c r="G344" s="1"/>
    </row>
    <row r="345" spans="1:7" ht="12.75">
      <c r="A345" s="1"/>
      <c r="B345" s="4"/>
      <c r="C345" s="1"/>
      <c r="D345" s="1"/>
      <c r="E345" s="1"/>
      <c r="F345" s="1"/>
      <c r="G345" s="1"/>
    </row>
    <row r="346" spans="1:7" ht="12.75">
      <c r="A346" s="1"/>
      <c r="B346" s="4"/>
      <c r="C346" s="1"/>
      <c r="D346" s="1"/>
      <c r="E346" s="1"/>
      <c r="F346" s="1"/>
      <c r="G346" s="1"/>
    </row>
    <row r="347" spans="1:7" ht="12.75">
      <c r="A347" s="1"/>
      <c r="B347" s="4"/>
      <c r="C347" s="1"/>
      <c r="D347" s="1"/>
      <c r="E347" s="1"/>
      <c r="F347" s="1"/>
      <c r="G347" s="1"/>
    </row>
    <row r="348" spans="1:7" ht="12.75">
      <c r="A348" s="1"/>
      <c r="B348" s="4"/>
      <c r="C348" s="1"/>
      <c r="D348" s="1"/>
      <c r="E348" s="1"/>
      <c r="F348" s="1"/>
      <c r="G348" s="1"/>
    </row>
    <row r="349" spans="1:7" ht="12.75">
      <c r="A349" s="1"/>
      <c r="B349" s="4"/>
      <c r="C349" s="1"/>
      <c r="D349" s="1"/>
      <c r="E349" s="1"/>
      <c r="F349" s="1"/>
      <c r="G349" s="1"/>
    </row>
    <row r="350" spans="1:7" ht="12.75">
      <c r="A350" s="1"/>
      <c r="B350" s="4"/>
      <c r="C350" s="1"/>
      <c r="D350" s="1"/>
      <c r="E350" s="1"/>
      <c r="F350" s="1"/>
      <c r="G350" s="1"/>
    </row>
    <row r="351" spans="1:7" ht="12.75">
      <c r="A351" s="1"/>
      <c r="B351" s="4"/>
      <c r="C351" s="1"/>
      <c r="D351" s="1"/>
      <c r="E351" s="1"/>
      <c r="F351" s="1"/>
      <c r="G351" s="1"/>
    </row>
    <row r="352" spans="1:7" ht="12.75">
      <c r="A352" s="1"/>
      <c r="B352" s="4"/>
      <c r="C352" s="1"/>
      <c r="D352" s="1"/>
      <c r="E352" s="1"/>
      <c r="F352" s="1"/>
      <c r="G352" s="1"/>
    </row>
    <row r="353" spans="1:7" ht="12.75">
      <c r="A353" s="1"/>
      <c r="B353" s="4"/>
      <c r="C353" s="1"/>
      <c r="D353" s="1"/>
      <c r="E353" s="1"/>
      <c r="F353" s="1"/>
      <c r="G353" s="1"/>
    </row>
    <row r="354" spans="1:7" ht="12.75">
      <c r="A354" s="1"/>
      <c r="B354" s="4"/>
      <c r="C354" s="1"/>
      <c r="D354" s="1"/>
      <c r="E354" s="1"/>
      <c r="F354" s="1"/>
      <c r="G354" s="1"/>
    </row>
    <row r="355" spans="1:7" ht="12.75">
      <c r="A355" s="1"/>
      <c r="B355" s="4"/>
      <c r="C355" s="1"/>
      <c r="D355" s="1"/>
      <c r="E355" s="1"/>
      <c r="F355" s="1"/>
      <c r="G355" s="1"/>
    </row>
  </sheetData>
  <sheetProtection password="D8FD" sheet="1" objects="1" scenarios="1"/>
  <dataValidations count="3">
    <dataValidation type="list" allowBlank="1" showInputMessage="1" showErrorMessage="1" sqref="A10">
      <formula1>$H$60:$H$68</formula1>
    </dataValidation>
    <dataValidation type="list" allowBlank="1" showInputMessage="1" showErrorMessage="1" sqref="B16">
      <formula1>$K$60:$K$66</formula1>
    </dataValidation>
    <dataValidation type="list" allowBlank="1" showInputMessage="1" showErrorMessage="1" sqref="C16">
      <formula1>$L$44:$L$51</formula1>
    </dataValidation>
  </dataValidation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AH49"/>
  <sheetViews>
    <sheetView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.7109375" style="0" customWidth="1"/>
    <col min="2" max="17" width="10.7109375" style="0" customWidth="1"/>
    <col min="18" max="18" width="4.7109375" style="0" customWidth="1"/>
    <col min="19" max="19" width="5.140625" style="0" customWidth="1"/>
    <col min="20" max="20" width="29.8515625" style="0" customWidth="1"/>
    <col min="21" max="21" width="11.7109375" style="0" customWidth="1"/>
    <col min="22" max="22" width="5.140625" style="0" customWidth="1"/>
    <col min="23" max="23" width="4.57421875" style="0" customWidth="1"/>
    <col min="24" max="24" width="8.00390625" style="0" customWidth="1"/>
    <col min="25" max="25" width="11.421875" style="0" customWidth="1"/>
    <col min="26" max="26" width="12.421875" style="0" customWidth="1"/>
    <col min="27" max="27" width="13.140625" style="0" customWidth="1"/>
    <col min="28" max="28" width="11.57421875" style="0" customWidth="1"/>
    <col min="29" max="29" width="10.7109375" style="0" customWidth="1"/>
    <col min="30" max="30" width="11.28125" style="0" customWidth="1"/>
    <col min="31" max="31" width="11.7109375" style="0" customWidth="1"/>
    <col min="32" max="32" width="11.28125" style="0" customWidth="1"/>
  </cols>
  <sheetData>
    <row r="1" spans="1:32" ht="15.75">
      <c r="A1" s="100"/>
      <c r="B1" s="101" t="s">
        <v>180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75"/>
      <c r="S1" s="75"/>
      <c r="T1" s="75"/>
      <c r="U1" s="75"/>
      <c r="V1" s="75"/>
      <c r="X1" s="203" t="s">
        <v>182</v>
      </c>
      <c r="Y1" s="16"/>
      <c r="Z1" s="16"/>
      <c r="AA1" s="16"/>
      <c r="AB1" s="16"/>
      <c r="AC1" s="16"/>
      <c r="AD1" s="213">
        <f>Pensione!B16</f>
        <v>28</v>
      </c>
      <c r="AE1" s="213">
        <f>Pensione!C10+1</f>
        <v>8</v>
      </c>
      <c r="AF1" s="242">
        <f>INT(VLOOKUP(AD1,X9:AF15,AE1))</f>
        <v>1854</v>
      </c>
    </row>
    <row r="2" spans="1:32" ht="14.25" customHeight="1">
      <c r="A2" s="59"/>
      <c r="B2" s="54" t="s">
        <v>7</v>
      </c>
      <c r="C2" s="54"/>
      <c r="D2" s="55" t="s">
        <v>10</v>
      </c>
      <c r="E2" s="55"/>
      <c r="F2" s="57" t="s">
        <v>66</v>
      </c>
      <c r="G2" s="57"/>
      <c r="H2" s="61" t="s">
        <v>11</v>
      </c>
      <c r="I2" s="61"/>
      <c r="J2" s="63" t="s">
        <v>12</v>
      </c>
      <c r="K2" s="63"/>
      <c r="L2" s="65" t="s">
        <v>13</v>
      </c>
      <c r="M2" s="65"/>
      <c r="N2" s="67" t="s">
        <v>14</v>
      </c>
      <c r="O2" s="67"/>
      <c r="P2" s="69" t="s">
        <v>15</v>
      </c>
      <c r="Q2" s="69"/>
      <c r="R2" s="75"/>
      <c r="S2" s="76"/>
      <c r="T2" s="76"/>
      <c r="U2" s="76"/>
      <c r="V2" s="86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60" t="s">
        <v>16</v>
      </c>
      <c r="B3" s="56" t="s">
        <v>8</v>
      </c>
      <c r="C3" s="56" t="s">
        <v>9</v>
      </c>
      <c r="D3" s="105" t="s">
        <v>8</v>
      </c>
      <c r="E3" s="105" t="s">
        <v>9</v>
      </c>
      <c r="F3" s="103" t="s">
        <v>8</v>
      </c>
      <c r="G3" s="58" t="s">
        <v>9</v>
      </c>
      <c r="H3" s="62" t="s">
        <v>8</v>
      </c>
      <c r="I3" s="62" t="s">
        <v>9</v>
      </c>
      <c r="J3" s="64" t="s">
        <v>8</v>
      </c>
      <c r="K3" s="64" t="s">
        <v>9</v>
      </c>
      <c r="L3" s="66" t="s">
        <v>8</v>
      </c>
      <c r="M3" s="66" t="s">
        <v>9</v>
      </c>
      <c r="N3" s="68" t="s">
        <v>8</v>
      </c>
      <c r="O3" s="68" t="s">
        <v>9</v>
      </c>
      <c r="P3" s="70" t="s">
        <v>8</v>
      </c>
      <c r="Q3" s="70" t="s">
        <v>9</v>
      </c>
      <c r="R3" s="77"/>
      <c r="S3" s="78"/>
      <c r="T3" s="78"/>
      <c r="U3" s="78"/>
      <c r="V3" s="86"/>
      <c r="X3" s="204" t="s">
        <v>145</v>
      </c>
      <c r="Y3" s="205" t="s">
        <v>146</v>
      </c>
      <c r="Z3" s="205" t="s">
        <v>147</v>
      </c>
      <c r="AA3" s="205" t="s">
        <v>148</v>
      </c>
      <c r="AB3" s="205" t="s">
        <v>149</v>
      </c>
      <c r="AC3" s="205" t="s">
        <v>149</v>
      </c>
      <c r="AD3" s="205" t="s">
        <v>150</v>
      </c>
      <c r="AE3" s="205" t="s">
        <v>149</v>
      </c>
      <c r="AF3" s="205" t="s">
        <v>151</v>
      </c>
    </row>
    <row r="4" spans="1:32" ht="12.75">
      <c r="A4" s="60">
        <v>0</v>
      </c>
      <c r="B4" s="233">
        <v>8151.82</v>
      </c>
      <c r="C4" s="233">
        <v>8151.82</v>
      </c>
      <c r="D4" s="105">
        <v>9805.533666689047</v>
      </c>
      <c r="E4" s="105">
        <v>9805.533666689047</v>
      </c>
      <c r="F4" s="234">
        <v>12019.665684641088</v>
      </c>
      <c r="G4" s="235">
        <v>12019.665684641088</v>
      </c>
      <c r="H4" s="236">
        <v>12225.19</v>
      </c>
      <c r="I4" s="236">
        <v>12225.19</v>
      </c>
      <c r="J4" s="237">
        <v>12225.19</v>
      </c>
      <c r="K4" s="237">
        <v>12225.19</v>
      </c>
      <c r="L4" s="238">
        <v>12225.19</v>
      </c>
      <c r="M4" s="238">
        <v>12225.19</v>
      </c>
      <c r="N4" s="239">
        <v>13737.55</v>
      </c>
      <c r="O4" s="239">
        <v>13737.55</v>
      </c>
      <c r="P4" s="240">
        <v>13737.55</v>
      </c>
      <c r="Q4" s="240">
        <v>13737.55</v>
      </c>
      <c r="R4" s="86"/>
      <c r="S4" s="78"/>
      <c r="T4" s="78"/>
      <c r="U4" s="78"/>
      <c r="V4" s="86"/>
      <c r="X4" s="204" t="s">
        <v>163</v>
      </c>
      <c r="Y4" s="205" t="s">
        <v>152</v>
      </c>
      <c r="Z4" s="205" t="s">
        <v>153</v>
      </c>
      <c r="AA4" s="205" t="s">
        <v>154</v>
      </c>
      <c r="AB4" s="205" t="s">
        <v>165</v>
      </c>
      <c r="AC4" s="205" t="s">
        <v>160</v>
      </c>
      <c r="AD4" s="205" t="s">
        <v>155</v>
      </c>
      <c r="AE4" s="205" t="s">
        <v>156</v>
      </c>
      <c r="AF4" s="205" t="s">
        <v>157</v>
      </c>
    </row>
    <row r="5" spans="1:32" ht="12.75">
      <c r="A5" s="60">
        <f>A4+1</f>
        <v>1</v>
      </c>
      <c r="B5" s="233">
        <v>8151.819478688406</v>
      </c>
      <c r="C5" s="233">
        <v>8132.937791475362</v>
      </c>
      <c r="D5" s="105">
        <v>9805.533666689047</v>
      </c>
      <c r="E5" s="105">
        <v>9784.377666689046</v>
      </c>
      <c r="F5" s="234">
        <v>12019.665684641088</v>
      </c>
      <c r="G5" s="235">
        <v>11995.479684641086</v>
      </c>
      <c r="H5" s="236">
        <v>12225.19</v>
      </c>
      <c r="I5" s="236">
        <v>12129.391410784654</v>
      </c>
      <c r="J5" s="237">
        <v>12225.19</v>
      </c>
      <c r="K5" s="237">
        <v>12129.391410784654</v>
      </c>
      <c r="L5" s="238">
        <v>12225.19</v>
      </c>
      <c r="M5" s="238">
        <v>12129.391410784654</v>
      </c>
      <c r="N5" s="239">
        <v>13737.55</v>
      </c>
      <c r="O5" s="239">
        <v>13633.619402490356</v>
      </c>
      <c r="P5" s="240">
        <v>13737.55</v>
      </c>
      <c r="Q5" s="240">
        <v>13633.619402490356</v>
      </c>
      <c r="R5" s="86"/>
      <c r="S5" s="78"/>
      <c r="T5" s="78"/>
      <c r="U5" s="78"/>
      <c r="V5" s="86"/>
      <c r="X5" s="206"/>
      <c r="Y5" s="207"/>
      <c r="Z5" s="207" t="s">
        <v>158</v>
      </c>
      <c r="AA5" s="207" t="s">
        <v>159</v>
      </c>
      <c r="AB5" s="207"/>
      <c r="AC5" s="207"/>
      <c r="AD5" s="207" t="s">
        <v>157</v>
      </c>
      <c r="AE5" s="207"/>
      <c r="AF5" s="207" t="s">
        <v>161</v>
      </c>
    </row>
    <row r="6" spans="1:32" ht="12.75">
      <c r="A6" s="60">
        <f>A5+1</f>
        <v>2</v>
      </c>
      <c r="B6" s="233">
        <v>8151.819478688406</v>
      </c>
      <c r="C6" s="233">
        <v>7978.558542680254</v>
      </c>
      <c r="D6" s="105">
        <v>9805.533666689047</v>
      </c>
      <c r="E6" s="105">
        <v>9618.346539114278</v>
      </c>
      <c r="F6" s="234">
        <v>12019.665684641088</v>
      </c>
      <c r="G6" s="235">
        <v>11813.990730550777</v>
      </c>
      <c r="H6" s="236">
        <v>12225.19</v>
      </c>
      <c r="I6" s="236">
        <v>11926.581184390505</v>
      </c>
      <c r="J6" s="237">
        <v>12225.19</v>
      </c>
      <c r="K6" s="237">
        <v>11926.581184390505</v>
      </c>
      <c r="L6" s="238">
        <v>12225.19</v>
      </c>
      <c r="M6" s="238">
        <v>11926.581184390505</v>
      </c>
      <c r="N6" s="239">
        <v>13737.55</v>
      </c>
      <c r="O6" s="239">
        <v>13418.336018130594</v>
      </c>
      <c r="P6" s="240">
        <v>13737.55</v>
      </c>
      <c r="Q6" s="240">
        <v>13418.336018130594</v>
      </c>
      <c r="R6" s="86"/>
      <c r="S6" s="76" t="s">
        <v>25</v>
      </c>
      <c r="T6" s="76"/>
      <c r="U6" s="78"/>
      <c r="V6" s="86"/>
      <c r="X6" s="1"/>
      <c r="Y6" s="1"/>
      <c r="Z6" s="1"/>
      <c r="AA6" s="1"/>
      <c r="AB6" s="1"/>
      <c r="AC6" s="1"/>
      <c r="AD6" s="1"/>
      <c r="AE6" s="1"/>
      <c r="AF6" s="208"/>
    </row>
    <row r="7" spans="1:32" ht="12.75">
      <c r="A7" s="60">
        <f>A6+1</f>
        <v>3</v>
      </c>
      <c r="B7" s="102">
        <v>8430.768393664106</v>
      </c>
      <c r="C7" s="102">
        <v>7995.8063188733495</v>
      </c>
      <c r="D7" s="104">
        <v>10167.153633739097</v>
      </c>
      <c r="E7" s="106">
        <v>9655.410679853218</v>
      </c>
      <c r="F7" s="108">
        <v>12517.00136778445</v>
      </c>
      <c r="G7" s="108">
        <v>11882.219443805447</v>
      </c>
      <c r="H7" s="107">
        <v>12727.9</v>
      </c>
      <c r="I7" s="107">
        <v>11985.910789026455</v>
      </c>
      <c r="J7" s="109">
        <v>12727.9</v>
      </c>
      <c r="K7" s="109">
        <v>11985.910789026455</v>
      </c>
      <c r="L7" s="110">
        <v>12727.9</v>
      </c>
      <c r="M7" s="110">
        <v>11985.910789026455</v>
      </c>
      <c r="N7" s="111">
        <v>14295.14</v>
      </c>
      <c r="O7" s="111">
        <v>13491.05541657477</v>
      </c>
      <c r="P7" s="112">
        <v>14881.76</v>
      </c>
      <c r="Q7" s="112">
        <v>13597.713598392951</v>
      </c>
      <c r="R7" s="86"/>
      <c r="S7" s="78">
        <v>1</v>
      </c>
      <c r="T7" s="78" t="s">
        <v>26</v>
      </c>
      <c r="U7" s="131">
        <v>6207.12</v>
      </c>
      <c r="V7" s="86"/>
      <c r="X7" s="209" t="s">
        <v>162</v>
      </c>
      <c r="Y7" s="210">
        <v>517.26</v>
      </c>
      <c r="Z7" s="210">
        <v>523.34</v>
      </c>
      <c r="AA7" s="210">
        <v>530.98</v>
      </c>
      <c r="AB7" s="210">
        <v>532.01</v>
      </c>
      <c r="AC7" s="210">
        <v>532.01</v>
      </c>
      <c r="AD7" s="210">
        <v>532.01</v>
      </c>
      <c r="AE7" s="210">
        <v>538.3</v>
      </c>
      <c r="AF7" s="210">
        <v>538.3</v>
      </c>
    </row>
    <row r="8" spans="1:34" ht="12.75">
      <c r="A8" s="60">
        <f aca="true" t="shared" si="0" ref="A8:A14">A7+1</f>
        <v>4</v>
      </c>
      <c r="B8" s="102">
        <v>8430.768393664106</v>
      </c>
      <c r="C8" s="102">
        <v>7995.03778538727</v>
      </c>
      <c r="D8" s="104">
        <v>10167.153633739097</v>
      </c>
      <c r="E8" s="106">
        <v>9672.30705303632</v>
      </c>
      <c r="F8" s="108">
        <v>12517.00136778445</v>
      </c>
      <c r="G8" s="108">
        <v>11927.213631514229</v>
      </c>
      <c r="H8" s="107">
        <v>12727.9</v>
      </c>
      <c r="I8" s="107">
        <v>12021.77900047359</v>
      </c>
      <c r="J8" s="109">
        <v>12727.9</v>
      </c>
      <c r="K8" s="109">
        <v>12021.77900047359</v>
      </c>
      <c r="L8" s="110">
        <v>12727.9</v>
      </c>
      <c r="M8" s="110">
        <v>12021.77900047359</v>
      </c>
      <c r="N8" s="111">
        <v>14295.14</v>
      </c>
      <c r="O8" s="111">
        <v>13538.453920216987</v>
      </c>
      <c r="P8" s="112">
        <v>14881.76</v>
      </c>
      <c r="Q8" s="112">
        <v>13746.890318527729</v>
      </c>
      <c r="R8" s="86"/>
      <c r="S8" s="78">
        <v>2</v>
      </c>
      <c r="T8" s="78" t="s">
        <v>27</v>
      </c>
      <c r="U8" s="131">
        <v>6280.08</v>
      </c>
      <c r="V8" s="86"/>
      <c r="X8" s="1"/>
      <c r="Y8" s="1"/>
      <c r="Z8" s="1"/>
      <c r="AA8" s="1"/>
      <c r="AB8" s="1"/>
      <c r="AC8" s="1"/>
      <c r="AD8" s="1"/>
      <c r="AE8" s="1"/>
      <c r="AF8" s="211"/>
      <c r="AH8" s="85"/>
    </row>
    <row r="9" spans="1:34" ht="12.75">
      <c r="A9" s="60">
        <f t="shared" si="0"/>
        <v>5</v>
      </c>
      <c r="B9" s="102">
        <v>8430.768393664106</v>
      </c>
      <c r="C9" s="102">
        <v>7979.887682901127</v>
      </c>
      <c r="D9" s="104">
        <v>10167.153633739097</v>
      </c>
      <c r="E9" s="106">
        <v>9670.507782366194</v>
      </c>
      <c r="F9" s="108">
        <v>12517.00136778445</v>
      </c>
      <c r="G9" s="108">
        <v>11946.148434972623</v>
      </c>
      <c r="H9" s="107">
        <v>12727.9</v>
      </c>
      <c r="I9" s="107">
        <v>12024.942721880336</v>
      </c>
      <c r="J9" s="109">
        <v>12727.9</v>
      </c>
      <c r="K9" s="109">
        <v>12024.942721880336</v>
      </c>
      <c r="L9" s="110">
        <v>12727.9</v>
      </c>
      <c r="M9" s="110">
        <v>12030.978015997982</v>
      </c>
      <c r="N9" s="111">
        <v>14295.14</v>
      </c>
      <c r="O9" s="111">
        <v>13550.014430841546</v>
      </c>
      <c r="P9" s="112">
        <v>14881.76</v>
      </c>
      <c r="Q9" s="112">
        <v>13822.612377141124</v>
      </c>
      <c r="R9" s="86"/>
      <c r="S9" s="78">
        <v>3</v>
      </c>
      <c r="T9" s="78" t="s">
        <v>68</v>
      </c>
      <c r="U9" s="131">
        <v>6380.64</v>
      </c>
      <c r="V9" s="86"/>
      <c r="X9" s="56">
        <v>0</v>
      </c>
      <c r="Y9" s="212">
        <v>679.3182898907005</v>
      </c>
      <c r="Z9" s="212">
        <v>817.1278055574206</v>
      </c>
      <c r="AA9" s="212">
        <v>1001.638807053424</v>
      </c>
      <c r="AB9" s="212">
        <v>1018.7666666666668</v>
      </c>
      <c r="AC9" s="212">
        <v>1018.7666666666668</v>
      </c>
      <c r="AD9" s="212">
        <v>1018.7666666666668</v>
      </c>
      <c r="AE9" s="212">
        <v>1144.7958333333333</v>
      </c>
      <c r="AF9" s="212">
        <v>1144.7958333333333</v>
      </c>
      <c r="AH9" s="85"/>
    </row>
    <row r="10" spans="1:34" ht="12.75">
      <c r="A10" s="60">
        <f t="shared" si="0"/>
        <v>6</v>
      </c>
      <c r="B10" s="102">
        <v>8430.768393664106</v>
      </c>
      <c r="C10" s="102">
        <v>7954.0708422198</v>
      </c>
      <c r="D10" s="104">
        <v>10167.153633739097</v>
      </c>
      <c r="E10" s="106">
        <v>9656.277485624512</v>
      </c>
      <c r="F10" s="108">
        <v>12517.00136778445</v>
      </c>
      <c r="G10" s="108">
        <v>11949.536770448942</v>
      </c>
      <c r="H10" s="107">
        <v>12727.9</v>
      </c>
      <c r="I10" s="107">
        <v>12016.870151135226</v>
      </c>
      <c r="J10" s="109">
        <v>12727.9</v>
      </c>
      <c r="K10" s="109">
        <v>12016.870151135226</v>
      </c>
      <c r="L10" s="110">
        <v>12727.9</v>
      </c>
      <c r="M10" s="110">
        <v>12022.140713135226</v>
      </c>
      <c r="N10" s="111">
        <v>14295.14</v>
      </c>
      <c r="O10" s="111">
        <v>13549.69346509226</v>
      </c>
      <c r="P10" s="112">
        <v>14881.76</v>
      </c>
      <c r="Q10" s="112">
        <v>13869.186623729483</v>
      </c>
      <c r="R10" s="86"/>
      <c r="S10" s="78">
        <v>4</v>
      </c>
      <c r="T10" s="78" t="s">
        <v>28</v>
      </c>
      <c r="U10" s="131">
        <v>6384.12</v>
      </c>
      <c r="V10" s="86"/>
      <c r="X10" s="56">
        <v>3</v>
      </c>
      <c r="Y10" s="212">
        <v>702.5640328053421</v>
      </c>
      <c r="Z10" s="212">
        <v>847.2628028115915</v>
      </c>
      <c r="AA10" s="212">
        <v>1043.083447315371</v>
      </c>
      <c r="AB10" s="212">
        <v>1060.6591666666666</v>
      </c>
      <c r="AC10" s="212">
        <v>1060.6591666666666</v>
      </c>
      <c r="AD10" s="212">
        <v>1060.6591666666666</v>
      </c>
      <c r="AE10" s="212">
        <v>1191.2616666666665</v>
      </c>
      <c r="AF10" s="212">
        <v>1240.1466666666668</v>
      </c>
      <c r="AH10" s="85"/>
    </row>
    <row r="11" spans="1:34" ht="12.75">
      <c r="A11" s="60">
        <f t="shared" si="0"/>
        <v>7</v>
      </c>
      <c r="B11" s="102">
        <v>8430.768393664106</v>
      </c>
      <c r="C11" s="102">
        <v>7919.707682048458</v>
      </c>
      <c r="D11" s="104">
        <v>10167.153633739097</v>
      </c>
      <c r="E11" s="106">
        <v>9632.119051492642</v>
      </c>
      <c r="F11" s="108">
        <v>12517.00136778445</v>
      </c>
      <c r="G11" s="108">
        <v>11940.62900469397</v>
      </c>
      <c r="H11" s="107">
        <v>12727.9</v>
      </c>
      <c r="I11" s="107">
        <v>11999.507908756192</v>
      </c>
      <c r="J11" s="109">
        <v>12727.9</v>
      </c>
      <c r="K11" s="109">
        <v>11999.507908756192</v>
      </c>
      <c r="L11" s="110">
        <v>12727.9</v>
      </c>
      <c r="M11" s="110">
        <v>12004.22884701706</v>
      </c>
      <c r="N11" s="111">
        <v>14295.14</v>
      </c>
      <c r="O11" s="111">
        <v>13539.497302863812</v>
      </c>
      <c r="P11" s="112">
        <v>14881.76</v>
      </c>
      <c r="Q11" s="112">
        <v>13893.76571370206</v>
      </c>
      <c r="R11" s="86"/>
      <c r="S11" s="78">
        <v>5</v>
      </c>
      <c r="T11" s="78" t="s">
        <v>29</v>
      </c>
      <c r="U11" s="131">
        <v>6384.12</v>
      </c>
      <c r="V11" s="86"/>
      <c r="X11" s="56">
        <v>9</v>
      </c>
      <c r="Y11" s="212">
        <v>786.8083794271115</v>
      </c>
      <c r="Z11" s="212">
        <v>954.828968497851</v>
      </c>
      <c r="AA11" s="212">
        <v>1170.710919121128</v>
      </c>
      <c r="AB11" s="212">
        <v>1189.6791666666666</v>
      </c>
      <c r="AC11" s="212">
        <v>1189.6791666666666</v>
      </c>
      <c r="AD11" s="212">
        <v>1189.6791666666666</v>
      </c>
      <c r="AE11" s="212">
        <v>1343.1366666666665</v>
      </c>
      <c r="AF11" s="212">
        <v>1392.7166666666665</v>
      </c>
      <c r="AH11" s="85"/>
    </row>
    <row r="12" spans="1:34" ht="12.75">
      <c r="A12" s="60">
        <f t="shared" si="0"/>
        <v>8</v>
      </c>
      <c r="B12" s="102">
        <v>8430.768393664106</v>
      </c>
      <c r="C12" s="102">
        <v>7879.936530069868</v>
      </c>
      <c r="D12" s="104">
        <v>10167.153633739097</v>
      </c>
      <c r="E12" s="106">
        <v>9602.105720002857</v>
      </c>
      <c r="F12" s="108">
        <v>12517.00136778445</v>
      </c>
      <c r="G12" s="108">
        <v>11924.50755281805</v>
      </c>
      <c r="H12" s="107">
        <v>12727.9</v>
      </c>
      <c r="I12" s="107">
        <v>11977.051913972686</v>
      </c>
      <c r="J12" s="109">
        <v>12727.9</v>
      </c>
      <c r="K12" s="109">
        <v>11977.051913972686</v>
      </c>
      <c r="L12" s="110">
        <v>12727.9</v>
      </c>
      <c r="M12" s="110">
        <v>11981.34098858807</v>
      </c>
      <c r="N12" s="111">
        <v>14295.14</v>
      </c>
      <c r="O12" s="111">
        <v>13524.590912564903</v>
      </c>
      <c r="P12" s="112">
        <v>14881.76</v>
      </c>
      <c r="Q12" s="112">
        <v>13906.420274246466</v>
      </c>
      <c r="R12" s="86"/>
      <c r="S12" s="78">
        <v>6</v>
      </c>
      <c r="T12" s="78" t="s">
        <v>30</v>
      </c>
      <c r="U12" s="131">
        <v>6384.12</v>
      </c>
      <c r="V12" s="87"/>
      <c r="X12" s="56">
        <v>15</v>
      </c>
      <c r="Y12" s="212">
        <v>865.4294235824548</v>
      </c>
      <c r="Z12" s="212">
        <v>1056.70879364276</v>
      </c>
      <c r="AA12" s="212">
        <v>1319.7547631442585</v>
      </c>
      <c r="AB12" s="212">
        <v>1340.3891666666666</v>
      </c>
      <c r="AC12" s="212">
        <v>1340.3891666666666</v>
      </c>
      <c r="AD12" s="212">
        <v>1340.3891666666666</v>
      </c>
      <c r="AE12" s="212">
        <v>1517.9716666666666</v>
      </c>
      <c r="AF12" s="212">
        <v>1580.9183333333333</v>
      </c>
      <c r="AH12" s="85"/>
    </row>
    <row r="13" spans="1:34" ht="12.75">
      <c r="A13" s="60">
        <f t="shared" si="0"/>
        <v>9</v>
      </c>
      <c r="B13" s="102">
        <v>9441.700553125338</v>
      </c>
      <c r="C13" s="102">
        <v>7925.802091418428</v>
      </c>
      <c r="D13" s="104">
        <v>11457.947621974208</v>
      </c>
      <c r="E13" s="106">
        <v>9678.287461725553</v>
      </c>
      <c r="F13" s="108">
        <v>14048.531029453537</v>
      </c>
      <c r="G13" s="108">
        <v>12034.161544726583</v>
      </c>
      <c r="H13" s="107">
        <v>14276.14</v>
      </c>
      <c r="I13" s="107">
        <v>12082.524785741185</v>
      </c>
      <c r="J13" s="109">
        <v>14276.14</v>
      </c>
      <c r="K13" s="109">
        <v>12082.524785741185</v>
      </c>
      <c r="L13" s="110">
        <v>14276.14</v>
      </c>
      <c r="M13" s="110">
        <v>12086.484438154976</v>
      </c>
      <c r="N13" s="111">
        <v>16117.64</v>
      </c>
      <c r="O13" s="111">
        <v>13658.813111970121</v>
      </c>
      <c r="P13" s="112">
        <v>16712.6</v>
      </c>
      <c r="Q13" s="112">
        <v>14063.223447358447</v>
      </c>
      <c r="R13" s="86"/>
      <c r="S13" s="78">
        <v>7</v>
      </c>
      <c r="T13" s="78" t="s">
        <v>31</v>
      </c>
      <c r="U13" s="131">
        <v>6459.6</v>
      </c>
      <c r="V13" s="86"/>
      <c r="X13" s="56">
        <v>21</v>
      </c>
      <c r="Y13" s="212">
        <v>942.8275539396194</v>
      </c>
      <c r="Z13" s="212">
        <v>1159.2050756867586</v>
      </c>
      <c r="AA13" s="212">
        <v>1464.4312565740659</v>
      </c>
      <c r="AB13" s="212">
        <v>1486.6525000000001</v>
      </c>
      <c r="AC13" s="212">
        <v>1486.6525000000001</v>
      </c>
      <c r="AD13" s="212">
        <v>1558.4733333333334</v>
      </c>
      <c r="AE13" s="212">
        <v>1687.74</v>
      </c>
      <c r="AF13" s="212">
        <v>1820.6466666666665</v>
      </c>
      <c r="AH13" s="85"/>
    </row>
    <row r="14" spans="1:32" ht="12.75">
      <c r="A14" s="60">
        <f t="shared" si="0"/>
        <v>10</v>
      </c>
      <c r="B14" s="102">
        <v>9441.700553125338</v>
      </c>
      <c r="C14" s="102">
        <v>8041.3922556875195</v>
      </c>
      <c r="D14" s="104">
        <v>11457.947621974208</v>
      </c>
      <c r="E14" s="106">
        <v>9830.785702364583</v>
      </c>
      <c r="F14" s="108">
        <v>14048.531029453537</v>
      </c>
      <c r="G14" s="108">
        <v>12225.463978174175</v>
      </c>
      <c r="H14" s="107">
        <v>14276.14</v>
      </c>
      <c r="I14" s="107">
        <v>12273.311129170086</v>
      </c>
      <c r="J14" s="109">
        <v>14276.14</v>
      </c>
      <c r="K14" s="109">
        <v>12273.311129170086</v>
      </c>
      <c r="L14" s="110">
        <v>14276.14</v>
      </c>
      <c r="M14" s="110">
        <v>12273.311129170086</v>
      </c>
      <c r="N14" s="111">
        <v>16117.64</v>
      </c>
      <c r="O14" s="111">
        <v>13883.25541920207</v>
      </c>
      <c r="P14" s="112">
        <v>16712.6</v>
      </c>
      <c r="Q14" s="112">
        <v>14338.853422757957</v>
      </c>
      <c r="R14" s="93"/>
      <c r="S14" s="79">
        <v>8</v>
      </c>
      <c r="T14" s="79" t="s">
        <v>32</v>
      </c>
      <c r="U14" s="132">
        <v>6459.6</v>
      </c>
      <c r="V14" s="86"/>
      <c r="X14" s="56">
        <v>28</v>
      </c>
      <c r="Y14" s="212">
        <v>1001.2251396757683</v>
      </c>
      <c r="Z14" s="212">
        <v>1232.202817375676</v>
      </c>
      <c r="AA14" s="212">
        <v>1607.1492650818323</v>
      </c>
      <c r="AB14" s="212">
        <v>1630.965</v>
      </c>
      <c r="AC14" s="212">
        <v>1630.965</v>
      </c>
      <c r="AD14" s="212">
        <v>1701.5758333333333</v>
      </c>
      <c r="AE14" s="212">
        <v>1854.2716666666665</v>
      </c>
      <c r="AF14" s="212">
        <v>1977.7</v>
      </c>
    </row>
    <row r="15" spans="1:32" ht="12.75">
      <c r="A15" s="60">
        <f aca="true" t="shared" si="1" ref="A15:A47">A14+1</f>
        <v>11</v>
      </c>
      <c r="B15" s="102">
        <v>9441.700553125338</v>
      </c>
      <c r="C15" s="102">
        <v>8170.430813062415</v>
      </c>
      <c r="D15" s="104">
        <v>11457.947621974208</v>
      </c>
      <c r="E15" s="106">
        <v>9996.081371054255</v>
      </c>
      <c r="F15" s="108">
        <v>14048.531029453537</v>
      </c>
      <c r="G15" s="108">
        <v>12428.864031682984</v>
      </c>
      <c r="H15" s="107">
        <v>14276.14</v>
      </c>
      <c r="I15" s="107">
        <v>12476.945048743115</v>
      </c>
      <c r="J15" s="109">
        <v>14276.14</v>
      </c>
      <c r="K15" s="109">
        <v>12476.945048743115</v>
      </c>
      <c r="L15" s="110">
        <v>14276.14</v>
      </c>
      <c r="M15" s="110">
        <v>12476.945048743115</v>
      </c>
      <c r="N15" s="111">
        <v>16117.64</v>
      </c>
      <c r="O15" s="111">
        <v>14119.65689977581</v>
      </c>
      <c r="P15" s="112">
        <v>16712.6</v>
      </c>
      <c r="Q15" s="112">
        <v>14636.513574394477</v>
      </c>
      <c r="R15" s="53"/>
      <c r="S15" s="53"/>
      <c r="T15" s="53"/>
      <c r="U15" s="53"/>
      <c r="V15" s="86"/>
      <c r="X15" s="56">
        <v>35</v>
      </c>
      <c r="Y15" s="212">
        <v>1042.139399188474</v>
      </c>
      <c r="Z15" s="212">
        <v>1288.1415374405428</v>
      </c>
      <c r="AA15" s="212">
        <v>1713.4464408200647</v>
      </c>
      <c r="AB15" s="212">
        <v>1738.4266666666665</v>
      </c>
      <c r="AC15" s="212">
        <v>1738.4266666666665</v>
      </c>
      <c r="AD15" s="212">
        <v>1810.2916666666667</v>
      </c>
      <c r="AE15" s="212">
        <v>1977.7</v>
      </c>
      <c r="AF15" s="212">
        <v>2102.898333333333</v>
      </c>
    </row>
    <row r="16" spans="1:22" ht="12.75">
      <c r="A16" s="60">
        <f t="shared" si="1"/>
        <v>12</v>
      </c>
      <c r="B16" s="102">
        <v>9441.700553125338</v>
      </c>
      <c r="C16" s="102">
        <v>8303.224419612208</v>
      </c>
      <c r="D16" s="104">
        <v>11457.947621974208</v>
      </c>
      <c r="E16" s="106">
        <v>10166.860999498596</v>
      </c>
      <c r="F16" s="108">
        <v>14048.531029453537</v>
      </c>
      <c r="G16" s="108">
        <v>12638.97501643109</v>
      </c>
      <c r="H16" s="107">
        <v>14276.14</v>
      </c>
      <c r="I16" s="107">
        <v>12688.392792867931</v>
      </c>
      <c r="J16" s="109">
        <v>14276.14</v>
      </c>
      <c r="K16" s="109">
        <v>12687.685523047017</v>
      </c>
      <c r="L16" s="110">
        <v>14276.14</v>
      </c>
      <c r="M16" s="110">
        <v>12687.685523047017</v>
      </c>
      <c r="N16" s="111">
        <v>16117.64</v>
      </c>
      <c r="O16" s="111">
        <v>14364.30500904418</v>
      </c>
      <c r="P16" s="112">
        <v>16712.6</v>
      </c>
      <c r="Q16" s="112">
        <v>14948.37719971999</v>
      </c>
      <c r="R16" s="113"/>
      <c r="S16" s="76" t="s">
        <v>64</v>
      </c>
      <c r="T16" s="76"/>
      <c r="U16" s="76"/>
      <c r="V16" s="86"/>
    </row>
    <row r="17" spans="1:22" ht="12.75">
      <c r="A17" s="60">
        <f t="shared" si="1"/>
        <v>13</v>
      </c>
      <c r="B17" s="102">
        <v>9441.700553125338</v>
      </c>
      <c r="C17" s="102">
        <v>8412.02954207133</v>
      </c>
      <c r="D17" s="104">
        <v>11457.947621974208</v>
      </c>
      <c r="E17" s="106">
        <v>10306.086286375214</v>
      </c>
      <c r="F17" s="108">
        <v>14048.531029453537</v>
      </c>
      <c r="G17" s="108">
        <v>12805.733734939015</v>
      </c>
      <c r="H17" s="107">
        <v>14276.14</v>
      </c>
      <c r="I17" s="107">
        <v>12854.917728075949</v>
      </c>
      <c r="J17" s="109">
        <v>14276.14</v>
      </c>
      <c r="K17" s="109">
        <v>12854.917728075949</v>
      </c>
      <c r="L17" s="110">
        <v>14276.14</v>
      </c>
      <c r="M17" s="110">
        <v>12854.917728075949</v>
      </c>
      <c r="N17" s="111">
        <v>16117.64</v>
      </c>
      <c r="O17" s="111">
        <v>14560.34677480689</v>
      </c>
      <c r="P17" s="112">
        <v>16712.6</v>
      </c>
      <c r="Q17" s="112">
        <v>15156.847594754201</v>
      </c>
      <c r="R17" s="86"/>
      <c r="S17" s="78"/>
      <c r="T17" s="95" t="s">
        <v>65</v>
      </c>
      <c r="U17" s="97">
        <f>T28/U11</f>
        <v>1.1262042016806721</v>
      </c>
      <c r="V17" s="86"/>
    </row>
    <row r="18" spans="1:22" ht="12.75">
      <c r="A18" s="60">
        <f t="shared" si="1"/>
        <v>14</v>
      </c>
      <c r="B18" s="102">
        <v>9441.700553125338</v>
      </c>
      <c r="C18" s="102">
        <v>8515.56011210854</v>
      </c>
      <c r="D18" s="104">
        <v>11457.947621974208</v>
      </c>
      <c r="E18" s="106">
        <v>10438.290402506245</v>
      </c>
      <c r="F18" s="108">
        <v>14048.531029453537</v>
      </c>
      <c r="G18" s="108">
        <v>12962.574810838849</v>
      </c>
      <c r="H18" s="107">
        <v>14276.14</v>
      </c>
      <c r="I18" s="107">
        <v>13011.758803975788</v>
      </c>
      <c r="J18" s="109">
        <v>14276.14</v>
      </c>
      <c r="K18" s="109">
        <v>13011.758803975788</v>
      </c>
      <c r="L18" s="110">
        <v>14276.14</v>
      </c>
      <c r="M18" s="110">
        <v>13011.758803975788</v>
      </c>
      <c r="N18" s="111">
        <v>16117.64</v>
      </c>
      <c r="O18" s="111">
        <v>14744.959996489095</v>
      </c>
      <c r="P18" s="112">
        <v>16712.6</v>
      </c>
      <c r="Q18" s="112">
        <v>15342.317472422334</v>
      </c>
      <c r="R18" s="86"/>
      <c r="S18" s="78">
        <v>1</v>
      </c>
      <c r="T18" s="78" t="s">
        <v>26</v>
      </c>
      <c r="U18" s="99">
        <f>U7*$U$17</f>
        <v>6990.4846243361335</v>
      </c>
      <c r="V18" s="86"/>
    </row>
    <row r="19" spans="1:22" ht="12.75">
      <c r="A19" s="60">
        <f t="shared" si="1"/>
        <v>15</v>
      </c>
      <c r="B19" s="102">
        <v>10385.153082989458</v>
      </c>
      <c r="C19" s="102">
        <v>8732.514407186534</v>
      </c>
      <c r="D19" s="104">
        <v>12680.505523713118</v>
      </c>
      <c r="E19" s="106">
        <v>10718.869633285296</v>
      </c>
      <c r="F19" s="108">
        <v>15837.057157731102</v>
      </c>
      <c r="G19" s="108">
        <v>13267.657506368409</v>
      </c>
      <c r="H19" s="107">
        <v>16084.66</v>
      </c>
      <c r="I19" s="107">
        <v>13327.091320458592</v>
      </c>
      <c r="J19" s="109">
        <v>16084.66</v>
      </c>
      <c r="K19" s="109">
        <v>13318.228136270925</v>
      </c>
      <c r="L19" s="110">
        <v>16084.66</v>
      </c>
      <c r="M19" s="110">
        <v>13318.228136270925</v>
      </c>
      <c r="N19" s="111">
        <v>18215.66</v>
      </c>
      <c r="O19" s="111">
        <v>15103.122996675833</v>
      </c>
      <c r="P19" s="112">
        <v>18971.02</v>
      </c>
      <c r="Q19" s="112">
        <v>15711.262465375297</v>
      </c>
      <c r="R19" s="86"/>
      <c r="S19" s="78">
        <v>2</v>
      </c>
      <c r="T19" s="78" t="s">
        <v>27</v>
      </c>
      <c r="U19" s="99">
        <f aca="true" t="shared" si="2" ref="U19:U25">U8*$U$17</f>
        <v>7072.652482890756</v>
      </c>
      <c r="V19" s="86"/>
    </row>
    <row r="20" spans="1:22" ht="12.75">
      <c r="A20" s="60">
        <f t="shared" si="1"/>
        <v>16</v>
      </c>
      <c r="B20" s="102">
        <v>10385.153082989458</v>
      </c>
      <c r="C20" s="102">
        <v>8955.072090242835</v>
      </c>
      <c r="D20" s="104">
        <v>12680.505523713118</v>
      </c>
      <c r="E20" s="106">
        <v>11004.061323839249</v>
      </c>
      <c r="F20" s="108">
        <v>15837.057157731102</v>
      </c>
      <c r="G20" s="108">
        <v>13643.08659915111</v>
      </c>
      <c r="H20" s="107">
        <v>16084.66</v>
      </c>
      <c r="I20" s="107">
        <v>13698.658073279237</v>
      </c>
      <c r="J20" s="109">
        <v>16084.66</v>
      </c>
      <c r="K20" s="109">
        <v>13694.495224089818</v>
      </c>
      <c r="L20" s="110">
        <v>16084.66</v>
      </c>
      <c r="M20" s="110">
        <v>13694.495224089818</v>
      </c>
      <c r="N20" s="111">
        <v>18215.66</v>
      </c>
      <c r="O20" s="111">
        <v>15542.43737181702</v>
      </c>
      <c r="P20" s="112">
        <v>18971.02</v>
      </c>
      <c r="Q20" s="112">
        <v>16166.109819359586</v>
      </c>
      <c r="R20" s="86"/>
      <c r="S20" s="78">
        <v>3</v>
      </c>
      <c r="T20" s="78" t="s">
        <v>33</v>
      </c>
      <c r="U20" s="99">
        <f t="shared" si="2"/>
        <v>7185.903577411765</v>
      </c>
      <c r="V20" s="86"/>
    </row>
    <row r="21" spans="1:22" ht="12.75">
      <c r="A21" s="60">
        <f t="shared" si="1"/>
        <v>17</v>
      </c>
      <c r="B21" s="102">
        <v>10385.153082989458</v>
      </c>
      <c r="C21" s="102">
        <v>9145.182968653644</v>
      </c>
      <c r="D21" s="104">
        <v>12680.505523713118</v>
      </c>
      <c r="E21" s="106">
        <v>11246.80598090372</v>
      </c>
      <c r="F21" s="108">
        <v>15837.057157731102</v>
      </c>
      <c r="G21" s="108">
        <v>13985.979329679605</v>
      </c>
      <c r="H21" s="107">
        <v>16084.66</v>
      </c>
      <c r="I21" s="107">
        <v>14041.533386368024</v>
      </c>
      <c r="J21" s="109">
        <v>16084.66</v>
      </c>
      <c r="K21" s="109">
        <v>14038.129462562865</v>
      </c>
      <c r="L21" s="110">
        <v>16084.66</v>
      </c>
      <c r="M21" s="110">
        <v>14038.129462562865</v>
      </c>
      <c r="N21" s="111">
        <v>18215.66</v>
      </c>
      <c r="O21" s="111">
        <v>15943.47671434121</v>
      </c>
      <c r="P21" s="112">
        <v>18971.02</v>
      </c>
      <c r="Q21" s="112">
        <v>16586.822189905874</v>
      </c>
      <c r="R21" s="86"/>
      <c r="S21" s="78">
        <v>4</v>
      </c>
      <c r="T21" s="78" t="s">
        <v>28</v>
      </c>
      <c r="U21" s="99">
        <f t="shared" si="2"/>
        <v>7189.822768033612</v>
      </c>
      <c r="V21" s="86"/>
    </row>
    <row r="22" spans="1:22" ht="12.75">
      <c r="A22" s="60">
        <f t="shared" si="1"/>
        <v>18</v>
      </c>
      <c r="B22" s="102">
        <v>10385.153082989458</v>
      </c>
      <c r="C22" s="102">
        <v>9306.047224729362</v>
      </c>
      <c r="D22" s="104">
        <v>12680.505523713118</v>
      </c>
      <c r="E22" s="106">
        <v>11454.617083013287</v>
      </c>
      <c r="F22" s="108">
        <v>15837.057157731102</v>
      </c>
      <c r="G22" s="108">
        <v>14284.392861456246</v>
      </c>
      <c r="H22" s="107">
        <v>16084.66</v>
      </c>
      <c r="I22" s="107">
        <v>14337.728556754904</v>
      </c>
      <c r="J22" s="109">
        <v>16084.66</v>
      </c>
      <c r="K22" s="109">
        <v>14337.26561650849</v>
      </c>
      <c r="L22" s="110">
        <v>16084.66</v>
      </c>
      <c r="M22" s="110">
        <v>14337.26561650849</v>
      </c>
      <c r="N22" s="111">
        <v>18215.66</v>
      </c>
      <c r="O22" s="111">
        <v>16292.46615435823</v>
      </c>
      <c r="P22" s="112">
        <v>18971.02</v>
      </c>
      <c r="Q22" s="112">
        <v>16954.506395215958</v>
      </c>
      <c r="R22" s="86"/>
      <c r="S22" s="78">
        <v>5</v>
      </c>
      <c r="T22" s="78" t="s">
        <v>29</v>
      </c>
      <c r="U22" s="99">
        <f t="shared" si="2"/>
        <v>7189.822768033612</v>
      </c>
      <c r="V22" s="86"/>
    </row>
    <row r="23" spans="1:22" ht="12.75">
      <c r="A23" s="60">
        <f t="shared" si="1"/>
        <v>19</v>
      </c>
      <c r="B23" s="102">
        <v>10385.153082989458</v>
      </c>
      <c r="C23" s="102">
        <v>9411.869161180577</v>
      </c>
      <c r="D23" s="104">
        <v>12680.505523713118</v>
      </c>
      <c r="E23" s="106">
        <v>11591.901096969206</v>
      </c>
      <c r="F23" s="108">
        <v>15837.057157731102</v>
      </c>
      <c r="G23" s="108">
        <v>14489.336059522815</v>
      </c>
      <c r="H23" s="107">
        <v>16084.66</v>
      </c>
      <c r="I23" s="107">
        <v>14542.780936283898</v>
      </c>
      <c r="J23" s="109">
        <v>16084.66</v>
      </c>
      <c r="K23" s="109">
        <v>14542.780936283898</v>
      </c>
      <c r="L23" s="110">
        <v>16084.66</v>
      </c>
      <c r="M23" s="110">
        <v>14542.780936283898</v>
      </c>
      <c r="N23" s="111">
        <v>18215.66</v>
      </c>
      <c r="O23" s="111">
        <v>16531.377735434446</v>
      </c>
      <c r="P23" s="112">
        <v>18971.02</v>
      </c>
      <c r="Q23" s="112">
        <v>17208.95225275167</v>
      </c>
      <c r="R23" s="86"/>
      <c r="S23" s="78">
        <v>6</v>
      </c>
      <c r="T23" s="78" t="s">
        <v>30</v>
      </c>
      <c r="U23" s="99">
        <f t="shared" si="2"/>
        <v>7189.822768033612</v>
      </c>
      <c r="V23" s="87"/>
    </row>
    <row r="24" spans="1:22" ht="12.75">
      <c r="A24" s="60">
        <f t="shared" si="1"/>
        <v>20</v>
      </c>
      <c r="B24" s="102">
        <v>10385.153082989458</v>
      </c>
      <c r="C24" s="102">
        <v>9508.488195744334</v>
      </c>
      <c r="D24" s="104">
        <v>12680.505523713118</v>
      </c>
      <c r="E24" s="106">
        <v>11717.108303519746</v>
      </c>
      <c r="F24" s="108">
        <v>15837.057157731102</v>
      </c>
      <c r="G24" s="108">
        <v>14672.500320642303</v>
      </c>
      <c r="H24" s="107">
        <v>16084.66</v>
      </c>
      <c r="I24" s="107">
        <v>14725.985827184899</v>
      </c>
      <c r="J24" s="109">
        <v>16084.66</v>
      </c>
      <c r="K24" s="109">
        <v>14725.985827184899</v>
      </c>
      <c r="L24" s="110">
        <v>16084.66</v>
      </c>
      <c r="M24" s="110">
        <v>14725.985827184899</v>
      </c>
      <c r="N24" s="111">
        <v>18215.66</v>
      </c>
      <c r="O24" s="111">
        <v>16743.9244223966</v>
      </c>
      <c r="P24" s="112">
        <v>18971.02</v>
      </c>
      <c r="Q24" s="112">
        <v>17437.74420238144</v>
      </c>
      <c r="R24" s="86"/>
      <c r="S24" s="78">
        <v>7</v>
      </c>
      <c r="T24" s="78" t="s">
        <v>31</v>
      </c>
      <c r="U24" s="99">
        <f t="shared" si="2"/>
        <v>7274.828661176471</v>
      </c>
      <c r="V24" s="86"/>
    </row>
    <row r="25" spans="1:22" ht="12.75">
      <c r="A25" s="60">
        <f t="shared" si="1"/>
        <v>21</v>
      </c>
      <c r="B25" s="102">
        <v>11313.93064727543</v>
      </c>
      <c r="C25" s="102">
        <v>9725.38732259059</v>
      </c>
      <c r="D25" s="104">
        <v>13910.460908241104</v>
      </c>
      <c r="E25" s="106">
        <v>11999.008157082628</v>
      </c>
      <c r="F25" s="108">
        <v>17573.175078888788</v>
      </c>
      <c r="G25" s="108">
        <v>15004.997446011537</v>
      </c>
      <c r="H25" s="107">
        <v>17839.82</v>
      </c>
      <c r="I25" s="107">
        <v>15070.131324759968</v>
      </c>
      <c r="J25" s="109">
        <v>17839.82</v>
      </c>
      <c r="K25" s="109">
        <v>15059.843700256424</v>
      </c>
      <c r="L25" s="110">
        <v>18701.67</v>
      </c>
      <c r="M25" s="110">
        <v>15117.783196054743</v>
      </c>
      <c r="N25" s="111">
        <v>20252.88</v>
      </c>
      <c r="O25" s="111">
        <v>17127.14390263969</v>
      </c>
      <c r="P25" s="112">
        <v>21847.76</v>
      </c>
      <c r="Q25" s="112">
        <v>17900.483855310227</v>
      </c>
      <c r="R25" s="93"/>
      <c r="S25" s="79">
        <v>8</v>
      </c>
      <c r="T25" s="79" t="s">
        <v>32</v>
      </c>
      <c r="U25" s="99">
        <f t="shared" si="2"/>
        <v>7274.828661176471</v>
      </c>
      <c r="V25" s="86"/>
    </row>
    <row r="26" spans="1:22" ht="12.75">
      <c r="A26" s="60">
        <f t="shared" si="1"/>
        <v>22</v>
      </c>
      <c r="B26" s="102">
        <v>11313.93064727543</v>
      </c>
      <c r="C26" s="102">
        <v>9936.092941839555</v>
      </c>
      <c r="D26" s="104">
        <v>13910.460908241104</v>
      </c>
      <c r="E26" s="106">
        <v>12274.83977900597</v>
      </c>
      <c r="F26" s="108">
        <v>17573.175078888788</v>
      </c>
      <c r="G26" s="108">
        <v>15407.696970244493</v>
      </c>
      <c r="H26" s="107">
        <v>17839.82</v>
      </c>
      <c r="I26" s="107">
        <v>15468.16135724424</v>
      </c>
      <c r="J26" s="109">
        <v>17839.82</v>
      </c>
      <c r="K26" s="109">
        <v>15463.329478720803</v>
      </c>
      <c r="L26" s="110">
        <v>18701.67</v>
      </c>
      <c r="M26" s="110">
        <v>15607.43009195131</v>
      </c>
      <c r="N26" s="111">
        <v>20252.88</v>
      </c>
      <c r="O26" s="111">
        <v>17590.00078148146</v>
      </c>
      <c r="P26" s="112">
        <v>21847.76</v>
      </c>
      <c r="Q26" s="112">
        <v>18472.75991685939</v>
      </c>
      <c r="R26" s="53"/>
      <c r="S26" s="53"/>
      <c r="T26" s="53"/>
      <c r="U26" s="53"/>
      <c r="V26" s="86"/>
    </row>
    <row r="27" spans="1:22" ht="12.75">
      <c r="A27" s="60">
        <f t="shared" si="1"/>
        <v>23</v>
      </c>
      <c r="B27" s="102">
        <v>11313.93064727543</v>
      </c>
      <c r="C27" s="102">
        <v>10110.077497152646</v>
      </c>
      <c r="D27" s="104">
        <v>13910.460908241104</v>
      </c>
      <c r="E27" s="106">
        <v>12502.741302413153</v>
      </c>
      <c r="F27" s="108">
        <v>17573.175078888788</v>
      </c>
      <c r="G27" s="108">
        <v>15772.735179512847</v>
      </c>
      <c r="H27" s="107">
        <v>17839.82</v>
      </c>
      <c r="I27" s="107">
        <v>15833.037457121245</v>
      </c>
      <c r="J27" s="109">
        <v>17839.82</v>
      </c>
      <c r="K27" s="109">
        <v>15829.066212681892</v>
      </c>
      <c r="L27" s="110">
        <v>18701.67</v>
      </c>
      <c r="M27" s="110">
        <v>16057.930028012646</v>
      </c>
      <c r="N27" s="111">
        <v>20252.88</v>
      </c>
      <c r="O27" s="111">
        <v>18016.47605483913</v>
      </c>
      <c r="P27" s="112">
        <v>21847.76</v>
      </c>
      <c r="Q27" s="112">
        <v>18997.59691268316</v>
      </c>
      <c r="R27" s="86"/>
      <c r="S27" s="78" t="s">
        <v>181</v>
      </c>
      <c r="T27" s="78"/>
      <c r="U27" s="78"/>
      <c r="V27" s="86"/>
    </row>
    <row r="28" spans="1:22" ht="12.75">
      <c r="A28" s="60">
        <f t="shared" si="1"/>
        <v>24</v>
      </c>
      <c r="B28" s="102">
        <v>11313.93064727543</v>
      </c>
      <c r="C28" s="102">
        <v>10263.757947318738</v>
      </c>
      <c r="D28" s="104">
        <v>13910.460908241104</v>
      </c>
      <c r="E28" s="106">
        <v>12703.88692138438</v>
      </c>
      <c r="F28" s="108">
        <v>17573.175078888788</v>
      </c>
      <c r="G28" s="108">
        <v>16084.842273378701</v>
      </c>
      <c r="H28" s="107">
        <v>17839.82</v>
      </c>
      <c r="I28" s="107">
        <v>16142.410763395952</v>
      </c>
      <c r="J28" s="109">
        <v>17839.82</v>
      </c>
      <c r="K28" s="109">
        <v>16141.870666441802</v>
      </c>
      <c r="L28" s="110">
        <v>18701.67</v>
      </c>
      <c r="M28" s="110">
        <v>16457.44191655272</v>
      </c>
      <c r="N28" s="111">
        <v>20252.88</v>
      </c>
      <c r="O28" s="111">
        <v>18385.42497750869</v>
      </c>
      <c r="P28" s="112">
        <v>21847.76</v>
      </c>
      <c r="Q28" s="112">
        <v>19456.38136320759</v>
      </c>
      <c r="R28" s="86"/>
      <c r="S28" s="78" t="s">
        <v>0</v>
      </c>
      <c r="T28" s="78">
        <f>SUM(T30:T40)/119</f>
        <v>7189.822768033613</v>
      </c>
      <c r="U28" s="96"/>
      <c r="V28" s="86"/>
    </row>
    <row r="29" spans="1:25" ht="12.75">
      <c r="A29" s="60">
        <f t="shared" si="1"/>
        <v>25</v>
      </c>
      <c r="B29" s="102">
        <v>11313.93064727543</v>
      </c>
      <c r="C29" s="102">
        <v>10367.964150141288</v>
      </c>
      <c r="D29" s="104">
        <v>13910.460908241104</v>
      </c>
      <c r="E29" s="106">
        <v>12841.275733087807</v>
      </c>
      <c r="F29" s="108">
        <v>17573.175078888788</v>
      </c>
      <c r="G29" s="108">
        <v>16288.185865372408</v>
      </c>
      <c r="H29" s="107">
        <v>17839.82</v>
      </c>
      <c r="I29" s="107">
        <v>16345.746922934266</v>
      </c>
      <c r="J29" s="109">
        <v>17839.82</v>
      </c>
      <c r="K29" s="109">
        <v>16345.746922934266</v>
      </c>
      <c r="L29" s="110">
        <v>18701.67</v>
      </c>
      <c r="M29" s="110">
        <v>16748.16251490996</v>
      </c>
      <c r="N29" s="111">
        <v>20252.88</v>
      </c>
      <c r="O29" s="111">
        <v>18622.72433294973</v>
      </c>
      <c r="P29" s="112">
        <v>21847.76</v>
      </c>
      <c r="Q29" s="112">
        <v>19779.083148314843</v>
      </c>
      <c r="R29" s="86"/>
      <c r="S29" s="78"/>
      <c r="T29" s="78"/>
      <c r="U29" s="96"/>
      <c r="V29" s="86"/>
      <c r="Y29" s="115"/>
    </row>
    <row r="30" spans="1:25" ht="12.75">
      <c r="A30" s="60">
        <f t="shared" si="1"/>
        <v>26</v>
      </c>
      <c r="B30" s="102">
        <v>11313.93064727543</v>
      </c>
      <c r="C30" s="102">
        <v>10463.089479816803</v>
      </c>
      <c r="D30" s="104">
        <v>13910.460908241104</v>
      </c>
      <c r="E30" s="106">
        <v>12967.236563712719</v>
      </c>
      <c r="F30" s="108">
        <v>17573.175078888788</v>
      </c>
      <c r="G30" s="108">
        <v>16465.97704023221</v>
      </c>
      <c r="H30" s="107">
        <v>17839.82</v>
      </c>
      <c r="I30" s="107">
        <v>16523.55164105457</v>
      </c>
      <c r="J30" s="109">
        <v>17839.82</v>
      </c>
      <c r="K30" s="109">
        <v>16523.55164105457</v>
      </c>
      <c r="L30" s="110">
        <v>18701.67</v>
      </c>
      <c r="M30" s="110">
        <v>17013.279626920874</v>
      </c>
      <c r="N30" s="111">
        <v>20252.88</v>
      </c>
      <c r="O30" s="111">
        <v>18829.0860219918</v>
      </c>
      <c r="P30" s="112">
        <v>21847.76</v>
      </c>
      <c r="Q30" s="112">
        <v>20070.49224448039</v>
      </c>
      <c r="R30" s="86"/>
      <c r="S30" s="78">
        <v>1998</v>
      </c>
      <c r="T30" s="98">
        <f>$U$11*U30*3</f>
        <v>25221.742884</v>
      </c>
      <c r="U30" s="96">
        <v>1.3169</v>
      </c>
      <c r="V30" s="86"/>
      <c r="Y30" s="115"/>
    </row>
    <row r="31" spans="1:25" ht="12.75">
      <c r="A31" s="60">
        <f t="shared" si="1"/>
        <v>27</v>
      </c>
      <c r="B31" s="102">
        <v>11313.93064727543</v>
      </c>
      <c r="C31" s="102">
        <v>10614.477965723496</v>
      </c>
      <c r="D31" s="104">
        <v>13910.460908241104</v>
      </c>
      <c r="E31" s="106">
        <v>13168.71704370748</v>
      </c>
      <c r="F31" s="108">
        <v>17573.175078888788</v>
      </c>
      <c r="G31" s="108">
        <v>16680.983947022814</v>
      </c>
      <c r="H31" s="107">
        <v>17839.82</v>
      </c>
      <c r="I31" s="107">
        <v>16750.47001412921</v>
      </c>
      <c r="J31" s="109">
        <v>17839.82</v>
      </c>
      <c r="K31" s="109">
        <v>16738.59967816358</v>
      </c>
      <c r="L31" s="110">
        <v>18701.67</v>
      </c>
      <c r="M31" s="110">
        <v>17316.416113109695</v>
      </c>
      <c r="N31" s="111">
        <v>20252.88</v>
      </c>
      <c r="O31" s="111">
        <v>19078.112982640447</v>
      </c>
      <c r="P31" s="112">
        <v>21847.76</v>
      </c>
      <c r="Q31" s="112">
        <v>20458.123842322388</v>
      </c>
      <c r="R31" s="86"/>
      <c r="S31" s="78">
        <v>1999</v>
      </c>
      <c r="T31" s="98">
        <f aca="true" t="shared" si="3" ref="T31:T36">$U$11*U31*12</f>
        <v>98412.48662400001</v>
      </c>
      <c r="U31" s="96">
        <v>1.2846</v>
      </c>
      <c r="V31" s="86"/>
      <c r="Y31" s="115"/>
    </row>
    <row r="32" spans="1:25" ht="12.75">
      <c r="A32" s="60">
        <f t="shared" si="1"/>
        <v>28</v>
      </c>
      <c r="B32" s="102">
        <v>12014.701676109222</v>
      </c>
      <c r="C32" s="102">
        <v>10777.148875572559</v>
      </c>
      <c r="D32" s="104">
        <v>14786.43380850811</v>
      </c>
      <c r="E32" s="106">
        <v>13380.60170438987</v>
      </c>
      <c r="F32" s="108">
        <v>19285.79118098199</v>
      </c>
      <c r="G32" s="108">
        <v>17025.073414044935</v>
      </c>
      <c r="H32" s="107">
        <v>19571.57</v>
      </c>
      <c r="I32" s="107">
        <v>17089.550775115862</v>
      </c>
      <c r="J32" s="109">
        <v>19571.57</v>
      </c>
      <c r="K32" s="109">
        <v>17083.975530665746</v>
      </c>
      <c r="L32" s="110">
        <v>20418.9</v>
      </c>
      <c r="M32" s="110">
        <v>17749.671719849557</v>
      </c>
      <c r="N32" s="111">
        <v>22251.26</v>
      </c>
      <c r="O32" s="111">
        <v>19477.529777770196</v>
      </c>
      <c r="P32" s="112">
        <v>23732.4</v>
      </c>
      <c r="Q32" s="112">
        <v>21007.47995719421</v>
      </c>
      <c r="R32" s="86"/>
      <c r="S32" s="78">
        <v>2000</v>
      </c>
      <c r="T32" s="98">
        <f t="shared" si="3"/>
        <v>95064.65409599998</v>
      </c>
      <c r="U32" s="96">
        <v>1.2409</v>
      </c>
      <c r="V32" s="87"/>
      <c r="Y32" s="115"/>
    </row>
    <row r="33" spans="1:25" ht="12.75">
      <c r="A33" s="60">
        <f t="shared" si="1"/>
        <v>29</v>
      </c>
      <c r="B33" s="102">
        <v>12014.701676109222</v>
      </c>
      <c r="C33" s="102">
        <v>10928.52953628151</v>
      </c>
      <c r="D33" s="104">
        <v>14786.43380850811</v>
      </c>
      <c r="E33" s="106">
        <v>13575.688107689846</v>
      </c>
      <c r="F33" s="108">
        <v>19285.79118098199</v>
      </c>
      <c r="G33" s="108">
        <v>17386.48033817043</v>
      </c>
      <c r="H33" s="107">
        <v>19571.57</v>
      </c>
      <c r="I33" s="107">
        <v>17450.78600144138</v>
      </c>
      <c r="J33" s="109">
        <v>19571.57</v>
      </c>
      <c r="K33" s="109">
        <v>17446.184400741815</v>
      </c>
      <c r="L33" s="110">
        <v>20418.9</v>
      </c>
      <c r="M33" s="110">
        <v>18199.816401728378</v>
      </c>
      <c r="N33" s="111">
        <v>22251.26</v>
      </c>
      <c r="O33" s="111">
        <v>19902.436714867006</v>
      </c>
      <c r="P33" s="112">
        <v>23732.4</v>
      </c>
      <c r="Q33" s="112">
        <v>21489.134469843124</v>
      </c>
      <c r="R33" s="86"/>
      <c r="S33" s="78">
        <v>2001</v>
      </c>
      <c r="T33" s="98">
        <f t="shared" si="3"/>
        <v>91724.482512</v>
      </c>
      <c r="U33" s="96">
        <v>1.1973</v>
      </c>
      <c r="V33" s="86"/>
      <c r="Y33" s="115"/>
    </row>
    <row r="34" spans="1:25" ht="12.75">
      <c r="A34" s="60">
        <f t="shared" si="1"/>
        <v>30</v>
      </c>
      <c r="B34" s="102">
        <v>12014.701676109222</v>
      </c>
      <c r="C34" s="102">
        <v>11056.879991232707</v>
      </c>
      <c r="D34" s="104">
        <v>14786.43380850811</v>
      </c>
      <c r="E34" s="106">
        <v>13739.47186172502</v>
      </c>
      <c r="F34" s="108">
        <v>19285.79118098199</v>
      </c>
      <c r="G34" s="108">
        <v>17678.938929534805</v>
      </c>
      <c r="H34" s="107">
        <v>19571.57</v>
      </c>
      <c r="I34" s="107">
        <v>17739.998128737236</v>
      </c>
      <c r="J34" s="109">
        <v>19571.57</v>
      </c>
      <c r="K34" s="109">
        <v>17739.372302107822</v>
      </c>
      <c r="L34" s="110">
        <v>20418.9</v>
      </c>
      <c r="M34" s="110">
        <v>18583.01296289829</v>
      </c>
      <c r="N34" s="111">
        <v>22251.26</v>
      </c>
      <c r="O34" s="111">
        <v>20245.687865668653</v>
      </c>
      <c r="P34" s="112">
        <v>23732.4</v>
      </c>
      <c r="Q34" s="112">
        <v>21823.742132450217</v>
      </c>
      <c r="R34" s="93"/>
      <c r="S34" s="78">
        <v>2002</v>
      </c>
      <c r="T34" s="98">
        <f t="shared" si="3"/>
        <v>88690.74868799999</v>
      </c>
      <c r="U34" s="96">
        <v>1.1577</v>
      </c>
      <c r="V34" s="86"/>
      <c r="Y34" s="115"/>
    </row>
    <row r="35" spans="1:25" ht="12.75">
      <c r="A35" s="60">
        <f t="shared" si="1"/>
        <v>31</v>
      </c>
      <c r="B35" s="102">
        <v>12014.701676109222</v>
      </c>
      <c r="C35" s="102">
        <v>11136.81431890409</v>
      </c>
      <c r="D35" s="104">
        <v>14786.43380850811</v>
      </c>
      <c r="E35" s="106">
        <v>13840.767773213385</v>
      </c>
      <c r="F35" s="108">
        <v>19285.79118098199</v>
      </c>
      <c r="G35" s="108">
        <v>17875.040098914473</v>
      </c>
      <c r="H35" s="107">
        <v>19571.57</v>
      </c>
      <c r="I35" s="107">
        <v>17936.193646070285</v>
      </c>
      <c r="J35" s="109">
        <v>19571.57</v>
      </c>
      <c r="K35" s="109">
        <v>17936.193646070285</v>
      </c>
      <c r="L35" s="110">
        <v>20418.9</v>
      </c>
      <c r="M35" s="110">
        <v>18801.435139179677</v>
      </c>
      <c r="N35" s="111">
        <v>22251.26</v>
      </c>
      <c r="O35" s="111">
        <v>20464.13265328597</v>
      </c>
      <c r="P35" s="112">
        <v>23732.4</v>
      </c>
      <c r="Q35" s="112">
        <v>22036.3918312653</v>
      </c>
      <c r="R35" s="86"/>
      <c r="S35" s="78">
        <v>2003</v>
      </c>
      <c r="T35" s="98">
        <f t="shared" si="3"/>
        <v>85741.285248</v>
      </c>
      <c r="U35" s="96">
        <v>1.1192</v>
      </c>
      <c r="V35" s="86"/>
      <c r="Y35" s="115"/>
    </row>
    <row r="36" spans="1:22" ht="12.75">
      <c r="A36" s="60">
        <f t="shared" si="1"/>
        <v>32</v>
      </c>
      <c r="B36" s="102">
        <v>12014.701676109222</v>
      </c>
      <c r="C36" s="102">
        <v>11207.965645751765</v>
      </c>
      <c r="D36" s="104">
        <v>14786.43380850811</v>
      </c>
      <c r="E36" s="106">
        <v>13929.714506924332</v>
      </c>
      <c r="F36" s="108">
        <v>19285.79118098199</v>
      </c>
      <c r="G36" s="108">
        <v>18048.964861673976</v>
      </c>
      <c r="H36" s="107">
        <v>19571.57</v>
      </c>
      <c r="I36" s="107">
        <v>18110.683962174327</v>
      </c>
      <c r="J36" s="109">
        <v>19571.57</v>
      </c>
      <c r="K36" s="109">
        <v>18110.683962174327</v>
      </c>
      <c r="L36" s="110">
        <v>20418.9</v>
      </c>
      <c r="M36" s="110">
        <v>18974.46170616571</v>
      </c>
      <c r="N36" s="111">
        <v>22251.26</v>
      </c>
      <c r="O36" s="111">
        <v>20665.493054626648</v>
      </c>
      <c r="P36" s="112">
        <v>23732.4</v>
      </c>
      <c r="Q36" s="112">
        <v>22226.28181371381</v>
      </c>
      <c r="R36" s="86"/>
      <c r="S36" s="78">
        <v>2004</v>
      </c>
      <c r="T36" s="98">
        <f t="shared" si="3"/>
        <v>83266.800336</v>
      </c>
      <c r="U36" s="96">
        <v>1.0869</v>
      </c>
      <c r="V36" s="87"/>
    </row>
    <row r="37" spans="1:22" ht="12.75">
      <c r="A37" s="60">
        <f t="shared" si="1"/>
        <v>33</v>
      </c>
      <c r="B37" s="102">
        <v>12014.701676109222</v>
      </c>
      <c r="C37" s="102">
        <v>11308.201970368551</v>
      </c>
      <c r="D37" s="104">
        <v>14786.43380850811</v>
      </c>
      <c r="E37" s="106">
        <v>14058.974296317956</v>
      </c>
      <c r="F37" s="108">
        <v>19285.79118098199</v>
      </c>
      <c r="G37" s="108">
        <v>18247.150851466846</v>
      </c>
      <c r="H37" s="107">
        <v>19571.57</v>
      </c>
      <c r="I37" s="107">
        <v>18316.529824507452</v>
      </c>
      <c r="J37" s="109">
        <v>19571.57</v>
      </c>
      <c r="K37" s="109">
        <v>18308.932809489448</v>
      </c>
      <c r="L37" s="110">
        <v>20418.9</v>
      </c>
      <c r="M37" s="110">
        <v>19224.43482036251</v>
      </c>
      <c r="N37" s="111">
        <v>22251.26</v>
      </c>
      <c r="O37" s="111">
        <v>20979.85458270159</v>
      </c>
      <c r="P37" s="112">
        <v>23732.4</v>
      </c>
      <c r="Q37" s="112">
        <v>22486.849456080352</v>
      </c>
      <c r="R37" s="93"/>
      <c r="S37" s="78">
        <v>2005</v>
      </c>
      <c r="T37" s="98">
        <f>$U$11*U37*12</f>
        <v>81075.770352</v>
      </c>
      <c r="U37" s="96">
        <v>1.0583</v>
      </c>
      <c r="V37" s="86"/>
    </row>
    <row r="38" spans="1:22" ht="12.75">
      <c r="A38" s="60">
        <f t="shared" si="1"/>
        <v>34</v>
      </c>
      <c r="B38" s="102">
        <v>12014.701676109222</v>
      </c>
      <c r="C38" s="102">
        <v>11406.676521423155</v>
      </c>
      <c r="D38" s="104">
        <v>14786.43380850811</v>
      </c>
      <c r="E38" s="106">
        <v>14185.50634386097</v>
      </c>
      <c r="F38" s="108">
        <v>19285.79118098199</v>
      </c>
      <c r="G38" s="108">
        <v>18477.303319978655</v>
      </c>
      <c r="H38" s="107">
        <v>19571.57</v>
      </c>
      <c r="I38" s="107">
        <v>18544.165312241355</v>
      </c>
      <c r="J38" s="109">
        <v>19571.57</v>
      </c>
      <c r="K38" s="109">
        <v>18539.100635562685</v>
      </c>
      <c r="L38" s="110">
        <v>20418.9</v>
      </c>
      <c r="M38" s="110">
        <v>19468.782438786027</v>
      </c>
      <c r="N38" s="111">
        <v>22251.26</v>
      </c>
      <c r="O38" s="111">
        <v>21237.502671142065</v>
      </c>
      <c r="P38" s="112">
        <v>23732.4</v>
      </c>
      <c r="Q38" s="112">
        <v>22748.231470328734</v>
      </c>
      <c r="R38" s="93"/>
      <c r="S38" s="78">
        <v>2006</v>
      </c>
      <c r="T38" s="98">
        <f>$U$11*U38*12</f>
        <v>78708.538656</v>
      </c>
      <c r="U38" s="96">
        <v>1.0274</v>
      </c>
      <c r="V38" s="86"/>
    </row>
    <row r="39" spans="1:22" ht="12.75">
      <c r="A39" s="60">
        <f t="shared" si="1"/>
        <v>35</v>
      </c>
      <c r="B39" s="102">
        <v>12505.67279026169</v>
      </c>
      <c r="C39" s="102">
        <v>11511.399200941292</v>
      </c>
      <c r="D39" s="104">
        <v>15457.698449286514</v>
      </c>
      <c r="E39" s="106">
        <v>14319.870723505746</v>
      </c>
      <c r="F39" s="108">
        <v>20561.357289840777</v>
      </c>
      <c r="G39" s="108">
        <v>18772.59546708138</v>
      </c>
      <c r="H39" s="107">
        <v>20861.11</v>
      </c>
      <c r="I39" s="107">
        <v>18842.51941343384</v>
      </c>
      <c r="J39" s="109">
        <v>20861.11</v>
      </c>
      <c r="K39" s="109">
        <v>18835.38310053769</v>
      </c>
      <c r="L39" s="110">
        <v>21723.49</v>
      </c>
      <c r="M39" s="110">
        <v>19728.95317395721</v>
      </c>
      <c r="N39" s="111">
        <v>23732.4</v>
      </c>
      <c r="O39" s="111">
        <v>21537.17291101026</v>
      </c>
      <c r="P39" s="112">
        <v>25234.78</v>
      </c>
      <c r="Q39" s="112">
        <v>23047.12568232248</v>
      </c>
      <c r="R39" s="53"/>
      <c r="S39" s="78">
        <v>2007</v>
      </c>
      <c r="T39" s="98">
        <f>$U$11*U39*12</f>
        <v>76609.44</v>
      </c>
      <c r="U39" s="96">
        <v>1</v>
      </c>
      <c r="V39" s="86"/>
    </row>
    <row r="40" spans="1:22" ht="12.75">
      <c r="A40" s="60">
        <f t="shared" si="1"/>
        <v>36</v>
      </c>
      <c r="B40" s="102">
        <v>12505.67279026169</v>
      </c>
      <c r="C40" s="102">
        <v>11621.958628946615</v>
      </c>
      <c r="D40" s="104">
        <v>15457.698449286514</v>
      </c>
      <c r="E40" s="106">
        <v>14462.673945985873</v>
      </c>
      <c r="F40" s="108">
        <v>20561.357289840777</v>
      </c>
      <c r="G40" s="108">
        <v>19079.79485885313</v>
      </c>
      <c r="H40" s="107">
        <v>20861.11</v>
      </c>
      <c r="I40" s="107">
        <v>19146.163005121623</v>
      </c>
      <c r="J40" s="109">
        <v>20861.11</v>
      </c>
      <c r="K40" s="109">
        <v>19143.137295072593</v>
      </c>
      <c r="L40" s="110">
        <v>21723.49</v>
      </c>
      <c r="M40" s="110">
        <v>20005.38691399529</v>
      </c>
      <c r="N40" s="111">
        <v>23732.4</v>
      </c>
      <c r="O40" s="111">
        <v>21858.290595174985</v>
      </c>
      <c r="P40" s="112">
        <v>25234.78</v>
      </c>
      <c r="Q40" s="112">
        <v>23363.903998114005</v>
      </c>
      <c r="R40" s="53"/>
      <c r="S40" s="78">
        <v>2008</v>
      </c>
      <c r="T40" s="98">
        <f>$U$11*U40*8</f>
        <v>51072.96</v>
      </c>
      <c r="U40" s="96">
        <v>1</v>
      </c>
      <c r="V40" s="86"/>
    </row>
    <row r="41" spans="1:22" ht="12.75">
      <c r="A41" s="60">
        <f t="shared" si="1"/>
        <v>37</v>
      </c>
      <c r="B41" s="102">
        <v>12505.67279026169</v>
      </c>
      <c r="C41" s="102">
        <v>11714.126835206564</v>
      </c>
      <c r="D41" s="104">
        <v>15457.698449286514</v>
      </c>
      <c r="E41" s="106">
        <v>14581.906506564006</v>
      </c>
      <c r="F41" s="108">
        <v>20561.357289840777</v>
      </c>
      <c r="G41" s="108">
        <v>19310.253706611806</v>
      </c>
      <c r="H41" s="107">
        <v>20861.11</v>
      </c>
      <c r="I41" s="107">
        <v>19374.487022973928</v>
      </c>
      <c r="J41" s="109">
        <v>20861.11</v>
      </c>
      <c r="K41" s="109">
        <v>19374.07552053267</v>
      </c>
      <c r="L41" s="110">
        <v>21723.49</v>
      </c>
      <c r="M41" s="110">
        <v>20236.13781691953</v>
      </c>
      <c r="N41" s="111">
        <v>23732.4</v>
      </c>
      <c r="O41" s="111">
        <v>22124.76524608543</v>
      </c>
      <c r="P41" s="112">
        <v>25234.78</v>
      </c>
      <c r="Q41" s="112">
        <v>23627.97824175628</v>
      </c>
      <c r="R41" s="53"/>
      <c r="S41" s="53"/>
      <c r="T41" s="53"/>
      <c r="U41" s="53"/>
      <c r="V41" s="86"/>
    </row>
    <row r="42" spans="1:17" ht="12.75">
      <c r="A42" s="60">
        <f t="shared" si="1"/>
        <v>38</v>
      </c>
      <c r="B42" s="102">
        <v>12505.67279026169</v>
      </c>
      <c r="C42" s="102">
        <v>11772.390422777791</v>
      </c>
      <c r="D42" s="104">
        <v>15457.698449286514</v>
      </c>
      <c r="E42" s="106">
        <v>14660.281003300857</v>
      </c>
      <c r="F42" s="108">
        <v>20561.357289840777</v>
      </c>
      <c r="G42" s="108">
        <v>19460.1100874217</v>
      </c>
      <c r="H42" s="107">
        <v>20861.11</v>
      </c>
      <c r="I42" s="107">
        <v>19524.42689814384</v>
      </c>
      <c r="J42" s="109">
        <v>20861.11</v>
      </c>
      <c r="K42" s="109">
        <v>19524.42689814384</v>
      </c>
      <c r="L42" s="110">
        <v>21723.49</v>
      </c>
      <c r="M42" s="110">
        <v>20387.461539130658</v>
      </c>
      <c r="N42" s="111">
        <v>23732.4</v>
      </c>
      <c r="O42" s="111">
        <v>22296.114277603112</v>
      </c>
      <c r="P42" s="112">
        <v>25234.78</v>
      </c>
      <c r="Q42" s="112">
        <v>23801.96799202243</v>
      </c>
    </row>
    <row r="43" spans="1:17" ht="12.75">
      <c r="A43" s="60">
        <f t="shared" si="1"/>
        <v>39</v>
      </c>
      <c r="B43" s="102">
        <v>12505.67279026169</v>
      </c>
      <c r="C43" s="102">
        <v>11822.256786203572</v>
      </c>
      <c r="D43" s="104">
        <v>15457.698449286514</v>
      </c>
      <c r="E43" s="106">
        <v>14728.44822650039</v>
      </c>
      <c r="F43" s="108">
        <v>20561.357289840777</v>
      </c>
      <c r="G43" s="108">
        <v>19589.644393544586</v>
      </c>
      <c r="H43" s="107">
        <v>20861.11</v>
      </c>
      <c r="I43" s="107">
        <v>19654.355776367564</v>
      </c>
      <c r="J43" s="109">
        <v>20861.11</v>
      </c>
      <c r="K43" s="109">
        <v>19654.355776367564</v>
      </c>
      <c r="L43" s="110">
        <v>21723.49</v>
      </c>
      <c r="M43" s="110">
        <v>20518.897619481155</v>
      </c>
      <c r="N43" s="111">
        <v>23732.4</v>
      </c>
      <c r="O43" s="111">
        <v>22445.35492142156</v>
      </c>
      <c r="P43" s="112">
        <v>25234.78</v>
      </c>
      <c r="Q43" s="112">
        <v>23953.34765410575</v>
      </c>
    </row>
    <row r="44" spans="1:17" ht="12.75">
      <c r="A44" s="60">
        <f t="shared" si="1"/>
        <v>40</v>
      </c>
      <c r="B44" s="102">
        <v>12505.67279026169</v>
      </c>
      <c r="C44" s="102">
        <v>11881.569691277242</v>
      </c>
      <c r="D44" s="104">
        <v>15457.698449286514</v>
      </c>
      <c r="E44" s="106">
        <v>14809.061833439371</v>
      </c>
      <c r="F44" s="108">
        <v>20561.357289840777</v>
      </c>
      <c r="G44" s="108">
        <v>19743.530026271852</v>
      </c>
      <c r="H44" s="107">
        <v>20861.11</v>
      </c>
      <c r="I44" s="107">
        <v>19816.010505307844</v>
      </c>
      <c r="J44" s="109">
        <v>20861.11</v>
      </c>
      <c r="K44" s="109">
        <v>19808.255219143637</v>
      </c>
      <c r="L44" s="110">
        <v>21723.49</v>
      </c>
      <c r="M44" s="110">
        <v>20673.88602141576</v>
      </c>
      <c r="N44" s="111">
        <v>23732.4</v>
      </c>
      <c r="O44" s="111">
        <v>22622.53550183839</v>
      </c>
      <c r="P44" s="112">
        <v>25234.78</v>
      </c>
      <c r="Q44" s="112">
        <v>24132.131733862276</v>
      </c>
    </row>
    <row r="45" spans="1:17" ht="12.75">
      <c r="A45" s="60">
        <f t="shared" si="1"/>
        <v>41</v>
      </c>
      <c r="B45" s="102">
        <v>12505.67279026169</v>
      </c>
      <c r="C45" s="102">
        <v>11953.370180813774</v>
      </c>
      <c r="D45" s="104">
        <v>15457.698449286514</v>
      </c>
      <c r="E45" s="106">
        <v>14906.121381111518</v>
      </c>
      <c r="F45" s="108">
        <v>20561.357289840777</v>
      </c>
      <c r="G45" s="108">
        <v>19929.619793501588</v>
      </c>
      <c r="H45" s="107">
        <v>20861.11</v>
      </c>
      <c r="I45" s="107">
        <v>19999.492463377734</v>
      </c>
      <c r="J45" s="109">
        <v>20861.11</v>
      </c>
      <c r="K45" s="109">
        <v>19994.322272601596</v>
      </c>
      <c r="L45" s="110">
        <v>21723.49</v>
      </c>
      <c r="M45" s="110">
        <v>20860.394520628608</v>
      </c>
      <c r="N45" s="111">
        <v>23732.4</v>
      </c>
      <c r="O45" s="111">
        <v>22837.068830799115</v>
      </c>
      <c r="P45" s="112">
        <v>25234.78</v>
      </c>
      <c r="Q45" s="112">
        <v>24347.72344426065</v>
      </c>
    </row>
    <row r="46" spans="1:17" ht="12.75">
      <c r="A46" s="60">
        <f t="shared" si="1"/>
        <v>42</v>
      </c>
      <c r="B46" s="102">
        <v>12505.67279026169</v>
      </c>
      <c r="C46" s="102">
        <v>12014.6805327887</v>
      </c>
      <c r="D46" s="104">
        <v>15457.698449286514</v>
      </c>
      <c r="E46" s="106">
        <v>14989.773814558775</v>
      </c>
      <c r="F46" s="108">
        <v>20561.357289840777</v>
      </c>
      <c r="G46" s="108">
        <v>20088.090777685724</v>
      </c>
      <c r="H46" s="107">
        <v>20861.11</v>
      </c>
      <c r="I46" s="107">
        <v>20158.089302253557</v>
      </c>
      <c r="J46" s="109">
        <v>20861.11</v>
      </c>
      <c r="K46" s="109">
        <v>20152.848572470448</v>
      </c>
      <c r="L46" s="110">
        <v>21723.49</v>
      </c>
      <c r="M46" s="110">
        <v>21020.939875708566</v>
      </c>
      <c r="N46" s="111">
        <v>23732.4</v>
      </c>
      <c r="O46" s="111">
        <v>23019.635750303405</v>
      </c>
      <c r="P46" s="112">
        <v>25234.78</v>
      </c>
      <c r="Q46" s="112">
        <v>24532.549500941666</v>
      </c>
    </row>
    <row r="47" spans="1:17" ht="12.75">
      <c r="A47" s="60">
        <f t="shared" si="1"/>
        <v>43</v>
      </c>
      <c r="B47" s="102">
        <v>12505.67279026169</v>
      </c>
      <c r="C47" s="102">
        <v>12057.874893232995</v>
      </c>
      <c r="D47" s="104">
        <v>15457.698449286514</v>
      </c>
      <c r="E47" s="106">
        <v>15048.664036966384</v>
      </c>
      <c r="F47" s="108">
        <v>20561.357289840777</v>
      </c>
      <c r="G47" s="108">
        <v>20198.695009447627</v>
      </c>
      <c r="H47" s="107">
        <v>20861.11</v>
      </c>
      <c r="I47" s="107">
        <v>20265.40438931799</v>
      </c>
      <c r="J47" s="109">
        <v>20861.11</v>
      </c>
      <c r="K47" s="109">
        <v>20263.429273035985</v>
      </c>
      <c r="L47" s="110">
        <v>21723.49</v>
      </c>
      <c r="M47" s="110">
        <v>21133.720146477805</v>
      </c>
      <c r="N47" s="111">
        <v>23732.4</v>
      </c>
      <c r="O47" s="111">
        <v>23146.076509422997</v>
      </c>
      <c r="P47" s="112">
        <v>25234.78</v>
      </c>
      <c r="Q47" s="112">
        <v>24661.984870217246</v>
      </c>
    </row>
    <row r="48" spans="1:17" ht="12.75">
      <c r="A48" s="60">
        <f>A47+1</f>
        <v>44</v>
      </c>
      <c r="B48" s="102">
        <v>12505.67279026169</v>
      </c>
      <c r="C48" s="102">
        <v>12089.139302812308</v>
      </c>
      <c r="D48" s="104">
        <v>15457.698449286514</v>
      </c>
      <c r="E48" s="106">
        <v>15090.478831182394</v>
      </c>
      <c r="F48" s="108">
        <v>20561.357289840777</v>
      </c>
      <c r="G48" s="108">
        <v>20278.884594204563</v>
      </c>
      <c r="H48" s="107">
        <v>20861.11</v>
      </c>
      <c r="I48" s="107">
        <v>20344.216237637815</v>
      </c>
      <c r="J48" s="109">
        <v>20861.11</v>
      </c>
      <c r="K48" s="109">
        <v>20343.598983975924</v>
      </c>
      <c r="L48" s="110">
        <v>21723.49</v>
      </c>
      <c r="M48" s="110">
        <v>21215.039666139903</v>
      </c>
      <c r="N48" s="111">
        <v>23732.4</v>
      </c>
      <c r="O48" s="111">
        <v>23237.08794035624</v>
      </c>
      <c r="P48" s="112">
        <v>25234.78</v>
      </c>
      <c r="Q48" s="112">
        <v>24755.337182307547</v>
      </c>
    </row>
    <row r="49" spans="1:17" ht="12.75">
      <c r="A49" s="60">
        <f>A48+1</f>
        <v>45</v>
      </c>
      <c r="B49" s="102">
        <v>12505.67279026169</v>
      </c>
      <c r="C49" s="102">
        <v>12094.152911389101</v>
      </c>
      <c r="D49" s="104">
        <v>15457.698449286514</v>
      </c>
      <c r="E49" s="106">
        <v>15097.20415274734</v>
      </c>
      <c r="F49" s="108">
        <v>20561.357289840777</v>
      </c>
      <c r="G49" s="108">
        <v>20291.989643867535</v>
      </c>
      <c r="H49" s="107">
        <v>20861.11</v>
      </c>
      <c r="I49" s="107">
        <v>20356.69744959984</v>
      </c>
      <c r="J49" s="109">
        <v>20861.11</v>
      </c>
      <c r="K49" s="109">
        <v>20356.69744959984</v>
      </c>
      <c r="L49" s="110">
        <v>21723.49</v>
      </c>
      <c r="M49" s="110">
        <v>21228.35897140729</v>
      </c>
      <c r="N49" s="111">
        <v>23732.4</v>
      </c>
      <c r="O49" s="111">
        <v>23251.85028180951</v>
      </c>
      <c r="P49" s="112">
        <v>25234.78</v>
      </c>
      <c r="Q49" s="112">
        <v>24770.60550030421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CISL SCUOLA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Napoli</dc:creator>
  <cp:keywords/>
  <dc:description/>
  <cp:lastModifiedBy>Michele Napoli</cp:lastModifiedBy>
  <cp:lastPrinted>2007-11-23T08:06:49Z</cp:lastPrinted>
  <dcterms:created xsi:type="dcterms:W3CDTF">2000-02-02T09:10:13Z</dcterms:created>
  <dcterms:modified xsi:type="dcterms:W3CDTF">2008-09-09T15:12:38Z</dcterms:modified>
  <cp:category/>
  <cp:version/>
  <cp:contentType/>
  <cp:contentStatus/>
</cp:coreProperties>
</file>